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5195" windowHeight="8700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</sheets>
  <definedNames>
    <definedName name="_xlnm.Print_Area" localSheetId="2">Лист3!$A$1:$Q$37</definedName>
    <definedName name="_xlnm.Print_Area" localSheetId="3">Лист4!$A$1:$Q$42</definedName>
    <definedName name="_xlnm.Print_Area" localSheetId="4">Лист5!$A$1:$Q$38</definedName>
    <definedName name="_xlnm.Print_Area" localSheetId="5">Лист6!$A$1:$Q$43</definedName>
  </definedNames>
  <calcPr calcId="125725"/>
</workbook>
</file>

<file path=xl/calcChain.xml><?xml version="1.0" encoding="utf-8"?>
<calcChain xmlns="http://schemas.openxmlformats.org/spreadsheetml/2006/main">
  <c r="N26" i="1"/>
  <c r="N16" i="3"/>
  <c r="N15" i="5" l="1"/>
  <c r="N15" i="4"/>
  <c r="N16" i="6" l="1"/>
  <c r="N15"/>
  <c r="N16" i="2"/>
  <c r="N17"/>
  <c r="N24" i="1"/>
  <c r="N25"/>
  <c r="N27"/>
  <c r="N23"/>
  <c r="J16" i="2" l="1"/>
  <c r="J16" i="6"/>
  <c r="J15"/>
  <c r="O15" i="5"/>
  <c r="O16" i="6"/>
  <c r="O15"/>
  <c r="O16" i="3"/>
  <c r="J16"/>
  <c r="J15" i="5"/>
  <c r="J28" i="1"/>
  <c r="J34"/>
  <c r="J23"/>
  <c r="O25"/>
  <c r="O34"/>
  <c r="N34"/>
  <c r="O27"/>
  <c r="O26"/>
  <c r="O24"/>
  <c r="O23"/>
  <c r="O21"/>
  <c r="O15" i="4" l="1"/>
  <c r="N21" i="1" l="1"/>
  <c r="O33"/>
  <c r="N33"/>
  <c r="J33"/>
  <c r="J24"/>
  <c r="J21"/>
  <c r="L16" i="7" l="1"/>
  <c r="L19" s="1"/>
  <c r="M16"/>
  <c r="M19" s="1"/>
  <c r="I16"/>
  <c r="I19" s="1"/>
  <c r="I29" s="1"/>
  <c r="H16"/>
  <c r="Q25"/>
  <c r="P25"/>
  <c r="O25"/>
  <c r="N25"/>
  <c r="M25"/>
  <c r="K25"/>
  <c r="J25"/>
  <c r="I25"/>
  <c r="H25"/>
  <c r="E25"/>
  <c r="E19"/>
  <c r="K18"/>
  <c r="H19" l="1"/>
  <c r="H29" s="1"/>
  <c r="N35" i="1" l="1"/>
  <c r="O35"/>
  <c r="K21" l="1"/>
  <c r="K22"/>
  <c r="H18" i="6"/>
  <c r="J18"/>
  <c r="M18"/>
  <c r="N18"/>
  <c r="O18"/>
  <c r="E18"/>
  <c r="H28" i="1"/>
  <c r="M28" i="4" l="1"/>
  <c r="H18"/>
  <c r="I18"/>
  <c r="J18"/>
  <c r="M18"/>
  <c r="N18"/>
  <c r="O18"/>
  <c r="E18"/>
  <c r="H18" i="2"/>
  <c r="I18"/>
  <c r="J18"/>
  <c r="M18"/>
  <c r="N18"/>
  <c r="O18"/>
  <c r="E18"/>
  <c r="F35" i="1"/>
  <c r="H35"/>
  <c r="I35"/>
  <c r="J35"/>
  <c r="E35"/>
  <c r="E28"/>
  <c r="M28" l="1"/>
  <c r="N28"/>
  <c r="O28"/>
  <c r="P34"/>
  <c r="P27"/>
  <c r="K27" l="1"/>
  <c r="Q27" s="1"/>
  <c r="K34" l="1"/>
  <c r="Q34" l="1"/>
  <c r="K16" i="6" l="1"/>
  <c r="P16" i="2" l="1"/>
  <c r="L16" l="1"/>
  <c r="L17"/>
  <c r="P16" i="3"/>
  <c r="K15" i="6" l="1"/>
  <c r="K18" s="1"/>
  <c r="J18" i="5" l="1"/>
  <c r="L18"/>
  <c r="M18"/>
  <c r="M28" s="1"/>
  <c r="N18"/>
  <c r="O18"/>
  <c r="E18"/>
  <c r="H19" i="3"/>
  <c r="I19"/>
  <c r="J19"/>
  <c r="L19"/>
  <c r="M19"/>
  <c r="N19"/>
  <c r="O19"/>
  <c r="E19"/>
  <c r="K17" i="2"/>
  <c r="M39" i="1"/>
  <c r="P16" i="6" l="1"/>
  <c r="P15" i="5"/>
  <c r="P18" s="1"/>
  <c r="K15"/>
  <c r="P15" i="4"/>
  <c r="P18" s="1"/>
  <c r="K15"/>
  <c r="K18" s="1"/>
  <c r="K16" i="3"/>
  <c r="P17" i="2"/>
  <c r="P18" s="1"/>
  <c r="Q16" i="6" l="1"/>
  <c r="Q15" i="5"/>
  <c r="Q18" s="1"/>
  <c r="Q15" i="4"/>
  <c r="Q18" s="1"/>
  <c r="Q16" i="3"/>
  <c r="Q19" s="1"/>
  <c r="P19"/>
  <c r="P26" i="1"/>
  <c r="K26"/>
  <c r="Q26" l="1"/>
  <c r="P33" l="1"/>
  <c r="P35" s="1"/>
  <c r="K33" l="1"/>
  <c r="Q33" l="1"/>
  <c r="Q35" s="1"/>
  <c r="K35"/>
  <c r="P25"/>
  <c r="P15" i="6"/>
  <c r="Q15" l="1"/>
  <c r="Q18" s="1"/>
  <c r="P18"/>
  <c r="K25" i="1"/>
  <c r="Q25" s="1"/>
  <c r="P24" l="1"/>
  <c r="I39"/>
  <c r="K24"/>
  <c r="O28" i="2"/>
  <c r="K17" i="6"/>
  <c r="E24"/>
  <c r="H24"/>
  <c r="I24"/>
  <c r="J24"/>
  <c r="K24"/>
  <c r="M24"/>
  <c r="M28" s="1"/>
  <c r="N24"/>
  <c r="O24"/>
  <c r="P24"/>
  <c r="Q24"/>
  <c r="K17" i="5"/>
  <c r="K18" s="1"/>
  <c r="E24"/>
  <c r="H24"/>
  <c r="I24"/>
  <c r="J24"/>
  <c r="K24"/>
  <c r="M24"/>
  <c r="N24"/>
  <c r="O24"/>
  <c r="P24"/>
  <c r="Q24"/>
  <c r="H28"/>
  <c r="K17" i="4"/>
  <c r="E24"/>
  <c r="H24"/>
  <c r="I24"/>
  <c r="J24"/>
  <c r="K24"/>
  <c r="M24"/>
  <c r="P24" s="1"/>
  <c r="N24"/>
  <c r="O24"/>
  <c r="Q24"/>
  <c r="K18" i="3"/>
  <c r="K19" s="1"/>
  <c r="K29" s="1"/>
  <c r="E25"/>
  <c r="H25"/>
  <c r="H29" s="1"/>
  <c r="I25"/>
  <c r="I29" s="1"/>
  <c r="J25"/>
  <c r="J29" s="1"/>
  <c r="K25"/>
  <c r="M25"/>
  <c r="N25"/>
  <c r="O25"/>
  <c r="P25"/>
  <c r="Q25"/>
  <c r="K16" i="2"/>
  <c r="K18" s="1"/>
  <c r="Q17"/>
  <c r="I28"/>
  <c r="E24"/>
  <c r="H24"/>
  <c r="H28" s="1"/>
  <c r="I24"/>
  <c r="J24"/>
  <c r="J28" s="1"/>
  <c r="K24"/>
  <c r="M24"/>
  <c r="N24"/>
  <c r="O24"/>
  <c r="P24"/>
  <c r="Q24"/>
  <c r="K16" i="1"/>
  <c r="P16"/>
  <c r="K19"/>
  <c r="P19"/>
  <c r="K20"/>
  <c r="P20"/>
  <c r="K23"/>
  <c r="K31"/>
  <c r="P31"/>
  <c r="N28" i="5"/>
  <c r="N28" i="4"/>
  <c r="N28" i="2"/>
  <c r="O28" i="5"/>
  <c r="K28" i="1" l="1"/>
  <c r="I28" i="6"/>
  <c r="J28" i="4"/>
  <c r="O28"/>
  <c r="P28" s="1"/>
  <c r="O28" i="6"/>
  <c r="P28"/>
  <c r="H28" i="4"/>
  <c r="I28"/>
  <c r="K28"/>
  <c r="N28" i="6"/>
  <c r="K28"/>
  <c r="I28" i="5"/>
  <c r="N29" i="3"/>
  <c r="N16" i="7" s="1"/>
  <c r="N19" s="1"/>
  <c r="N29" s="1"/>
  <c r="O29" i="3"/>
  <c r="K28" i="2"/>
  <c r="Q16"/>
  <c r="Q18" s="1"/>
  <c r="Q19" i="1"/>
  <c r="H39"/>
  <c r="Q20"/>
  <c r="Q16"/>
  <c r="Q31"/>
  <c r="K28" i="5"/>
  <c r="H28" i="6"/>
  <c r="J28"/>
  <c r="P28" i="2"/>
  <c r="Q24" i="1"/>
  <c r="P28" i="5"/>
  <c r="J28"/>
  <c r="J16" i="7" s="1"/>
  <c r="J19" s="1"/>
  <c r="J29" s="1"/>
  <c r="P23" i="1"/>
  <c r="Q23" s="1"/>
  <c r="P22"/>
  <c r="Q22" s="1"/>
  <c r="O39"/>
  <c r="P21"/>
  <c r="J39"/>
  <c r="P29" i="3"/>
  <c r="Q29"/>
  <c r="K16" i="7" l="1"/>
  <c r="K19" s="1"/>
  <c r="K29" s="1"/>
  <c r="O16"/>
  <c r="O19" s="1"/>
  <c r="O29" s="1"/>
  <c r="P28" i="1"/>
  <c r="Q21"/>
  <c r="Q28" i="4"/>
  <c r="Q28" i="2"/>
  <c r="Q28" i="6"/>
  <c r="K39" i="1"/>
  <c r="Q28" i="5"/>
  <c r="N39" i="1"/>
  <c r="P16" i="7" l="1"/>
  <c r="P19" s="1"/>
  <c r="P29" s="1"/>
  <c r="P39" i="1"/>
  <c r="Q28"/>
  <c r="Q39" s="1"/>
  <c r="Q16" i="7" l="1"/>
  <c r="Q19" s="1"/>
  <c r="Q29" s="1"/>
</calcChain>
</file>

<file path=xl/sharedStrings.xml><?xml version="1.0" encoding="utf-8"?>
<sst xmlns="http://schemas.openxmlformats.org/spreadsheetml/2006/main" count="289" uniqueCount="83">
  <si>
    <t>Наименование кредитора (принципала)</t>
  </si>
  <si>
    <t>Объем долгового обязательства по договору</t>
  </si>
  <si>
    <t>Срок погашения долгового обязательства</t>
  </si>
  <si>
    <t>Процентная ставка</t>
  </si>
  <si>
    <t>№ п/п</t>
  </si>
  <si>
    <t>Наименование долгового обязательства</t>
  </si>
  <si>
    <t>Дата возникновения обязательства по договору, № и дата документа</t>
  </si>
  <si>
    <t>Форма обеспечения обязательства, № и дата документа</t>
  </si>
  <si>
    <t>Образование долгового обязательства за отчетный период</t>
  </si>
  <si>
    <t>Погашение долгового обязательства за отчетный период</t>
  </si>
  <si>
    <t>Остаток долгового обязательства на начало отчетного периода</t>
  </si>
  <si>
    <t>Остаток долга по процентам на начало отчетного периода</t>
  </si>
  <si>
    <t>Остаток  долга по процентам на конец отчетного периода</t>
  </si>
  <si>
    <t>Начислено процентов с начала отчетного периода</t>
  </si>
  <si>
    <t>Погашено процентов с начала отчетного периода</t>
  </si>
  <si>
    <t>Итого по разделу</t>
  </si>
  <si>
    <t>Остаток долговых обязательств на конец отчетного периода</t>
  </si>
  <si>
    <t xml:space="preserve">ВСЕГО муниципальный долг </t>
  </si>
  <si>
    <t>Всего муниципальный долг на конец отчетного периода</t>
  </si>
  <si>
    <t xml:space="preserve"> I.   Муниципальные ценные бумаги</t>
  </si>
  <si>
    <t xml:space="preserve"> II. Бюджетные кредиты, привлеченные в местный бюджет от других бюджетов бюджетной системы Российской Федерации</t>
  </si>
  <si>
    <t xml:space="preserve"> III. Кредиты, полученные муниципальным образованием от кредитных организаций</t>
  </si>
  <si>
    <t>(рублей)</t>
  </si>
  <si>
    <t>Приложение № 2 к приказу № 91 от 19 марта 2009 года</t>
  </si>
  <si>
    <t xml:space="preserve">               Бюджетный кредит</t>
  </si>
  <si>
    <t>Муниципальная долговая книга Пудожского района</t>
  </si>
  <si>
    <t>Министерство Финансов Республики Карелия</t>
  </si>
  <si>
    <t>Исп.Голованова И.Д. 5-13-61</t>
  </si>
  <si>
    <t>Бюджетный кредит</t>
  </si>
  <si>
    <t>Договор  N13-1 от 06.10.09</t>
  </si>
  <si>
    <t>Договор  N 8628-100510-01677 от 18.03.2010</t>
  </si>
  <si>
    <t>Акционерный коммерческий Сберегательный банк</t>
  </si>
  <si>
    <t>Администрация Пудожского муниципального района</t>
  </si>
  <si>
    <t>Договор  N13-1 от 23.11.10</t>
  </si>
  <si>
    <t>Коммерческий кредит</t>
  </si>
  <si>
    <t>Муниципальная долговая книга Шальского поселения</t>
  </si>
  <si>
    <t>Муниципальная долговая книга Кривецкого поселения</t>
  </si>
  <si>
    <t>Кредит</t>
  </si>
  <si>
    <t>Договор  N13-1 /12от  09.06.2012</t>
  </si>
  <si>
    <t>Договор  N13-2 /12от  19.10.2012</t>
  </si>
  <si>
    <t>Муниципальная долговая книга Пяльмского поселения</t>
  </si>
  <si>
    <t>Муниципальная долговая книга Авдеевского поселения</t>
  </si>
  <si>
    <t>Договор  N13-3 /12от  24.12.2012</t>
  </si>
  <si>
    <t>Казна муниципального образования</t>
  </si>
  <si>
    <t>Муниципальная долговая книга Красноборского поселения</t>
  </si>
  <si>
    <t>Договор  N13-1/13 от  10.06.2013</t>
  </si>
  <si>
    <t>ОАО "СМП Банк"</t>
  </si>
  <si>
    <t>Договор  N13-2/13 от  03.10.2013</t>
  </si>
  <si>
    <t>Договор №3 -АПМР от 07.10.2013</t>
  </si>
  <si>
    <t>Муниципальный контракт N0106300008413000019-0226286-02 от 25.11.2013г.</t>
  </si>
  <si>
    <t>Договор  N13-3/13 от  25.12.2013</t>
  </si>
  <si>
    <t>Глава администрации муниципального образования                                                             В.Н.Ересов</t>
  </si>
  <si>
    <t xml:space="preserve">           4.</t>
  </si>
  <si>
    <t>Глава администрации муниципального образования                                                              В.Н.Ересов</t>
  </si>
  <si>
    <t>Глава администрации муниципального образования                                                               В.Н.Ересов</t>
  </si>
  <si>
    <t xml:space="preserve">Исполн.                  </t>
  </si>
  <si>
    <t>Глава администрации муниципального образования                                                                    В.Н.Ересов</t>
  </si>
  <si>
    <t xml:space="preserve">     Голованова И.Д.</t>
  </si>
  <si>
    <t>Исп. Голованова И.Д</t>
  </si>
  <si>
    <t>Договор №9 -АПМР от 25.12.2013</t>
  </si>
  <si>
    <t>Исполнитель</t>
  </si>
  <si>
    <t>И.Д.Голованова</t>
  </si>
  <si>
    <t>Глава администрации муниципального образования                                                                      В.Н.Ересов</t>
  </si>
  <si>
    <t>Договор №5-АПМР от 25.12.2013</t>
  </si>
  <si>
    <t>Договор № 6-АПМР от 25.12.2013</t>
  </si>
  <si>
    <t>Договор №4-АПМР от 25.12.2013</t>
  </si>
  <si>
    <t>Договор № 8-АПМР от 25.12.2013</t>
  </si>
  <si>
    <t>Договор №2-АПМР от 19.04.2013</t>
  </si>
  <si>
    <t>Кредитный договор N 039-052-R-2014 от 5.12.2014.</t>
  </si>
  <si>
    <t>ОАО Банк "Возрождение"</t>
  </si>
  <si>
    <t>Договор  N13-01/14 от  25.12.2013</t>
  </si>
  <si>
    <t>Начальник финансового управления                                                                           Т.И.Черная</t>
  </si>
  <si>
    <t>Начальник финансового управления                                                                              Т И Черная</t>
  </si>
  <si>
    <t>Начальник финансового управления                                                                                  Т И Черная</t>
  </si>
  <si>
    <t>Начальник финансового управления                                                                                Т И Черная</t>
  </si>
  <si>
    <t>Начальник финансового управления                                                                       Т И Черная</t>
  </si>
  <si>
    <t>Начальник финансового управления                                                                                    Т И Черная</t>
  </si>
  <si>
    <t>Договор  N 8628-1-100712-01677 от 08.08.2012</t>
  </si>
  <si>
    <t>Муниципальная долговая книга СВОД поселений</t>
  </si>
  <si>
    <t>по состоянию на 01 июля 2015 года</t>
  </si>
  <si>
    <t>по состоянию на 01  июля   2015 года</t>
  </si>
  <si>
    <t>по состоянию на 01  июля 2015 года</t>
  </si>
  <si>
    <t>по состоянию на 01 июля  2015 года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</si>
</sst>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7">
    <font>
      <sz val="10"/>
      <name val="Arial Cyr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sz val="8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9"/>
      <name val="Times New Roman Cyr"/>
      <family val="1"/>
      <charset val="204"/>
    </font>
    <font>
      <sz val="8"/>
      <name val="Arial Cyr"/>
      <charset val="204"/>
    </font>
    <font>
      <b/>
      <i/>
      <sz val="11"/>
      <name val="Times New Roman Cyr"/>
      <family val="1"/>
      <charset val="204"/>
    </font>
    <font>
      <b/>
      <sz val="11"/>
      <name val="Times New Roman Cyr"/>
      <charset val="204"/>
    </font>
    <font>
      <sz val="14"/>
      <name val="Arial Cyr"/>
      <charset val="204"/>
    </font>
    <font>
      <sz val="11"/>
      <name val="Times New Roman Cyr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6"/>
      <name val="Arial Cyr"/>
      <charset val="204"/>
    </font>
    <font>
      <sz val="16"/>
      <name val="Times New Roman Cyr"/>
      <family val="1"/>
      <charset val="204"/>
    </font>
    <font>
      <sz val="16"/>
      <name val="Times New Roman Cyr"/>
      <charset val="204"/>
    </font>
    <font>
      <b/>
      <i/>
      <sz val="16"/>
      <name val="Times New Roman Cyr"/>
      <family val="1"/>
      <charset val="204"/>
    </font>
    <font>
      <b/>
      <sz val="16"/>
      <name val="Times New Roman Cyr"/>
      <charset val="204"/>
    </font>
    <font>
      <sz val="14"/>
      <name val="Times New Roman Cyr"/>
      <family val="1"/>
      <charset val="204"/>
    </font>
    <font>
      <sz val="14"/>
      <name val="Times New Roman Cyr"/>
      <charset val="204"/>
    </font>
    <font>
      <b/>
      <i/>
      <sz val="14"/>
      <name val="Times New Roman Cyr"/>
      <family val="1"/>
      <charset val="204"/>
    </font>
    <font>
      <b/>
      <sz val="11"/>
      <color rgb="FFFF0000"/>
      <name val="Times New Roman Cyr"/>
      <family val="1"/>
      <charset val="204"/>
    </font>
    <font>
      <b/>
      <sz val="11"/>
      <color rgb="FFC00000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2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/>
    <xf numFmtId="0" fontId="2" fillId="0" borderId="0" xfId="0" applyFont="1" applyAlignment="1">
      <alignment horizontal="justify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justify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/>
    </xf>
    <xf numFmtId="0" fontId="3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7" fillId="0" borderId="0" xfId="0" applyFont="1" applyBorder="1" applyAlignment="1">
      <alignment horizontal="justify" wrapText="1"/>
    </xf>
    <xf numFmtId="164" fontId="6" fillId="0" borderId="0" xfId="0" applyNumberFormat="1" applyFont="1" applyBorder="1"/>
    <xf numFmtId="164" fontId="6" fillId="0" borderId="0" xfId="0" applyNumberFormat="1" applyFont="1" applyBorder="1" applyAlignment="1">
      <alignment horizontal="center"/>
    </xf>
    <xf numFmtId="0" fontId="3" fillId="0" borderId="1" xfId="0" applyFont="1" applyBorder="1"/>
    <xf numFmtId="0" fontId="2" fillId="0" borderId="2" xfId="0" applyFont="1" applyBorder="1" applyAlignment="1">
      <alignment horizontal="justify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3" fillId="0" borderId="5" xfId="0" applyFont="1" applyBorder="1"/>
    <xf numFmtId="0" fontId="2" fillId="0" borderId="2" xfId="0" applyFont="1" applyBorder="1" applyAlignment="1"/>
    <xf numFmtId="0" fontId="2" fillId="0" borderId="3" xfId="0" applyFont="1" applyBorder="1" applyAlignment="1"/>
    <xf numFmtId="0" fontId="5" fillId="0" borderId="0" xfId="0" applyFont="1" applyAlignment="1">
      <alignment horizontal="center" wrapText="1"/>
    </xf>
    <xf numFmtId="0" fontId="10" fillId="0" borderId="6" xfId="0" applyFont="1" applyBorder="1" applyAlignment="1"/>
    <xf numFmtId="0" fontId="10" fillId="0" borderId="3" xfId="0" applyFont="1" applyBorder="1" applyAlignment="1"/>
    <xf numFmtId="0" fontId="5" fillId="0" borderId="6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1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2" fontId="2" fillId="0" borderId="3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64" fontId="15" fillId="0" borderId="5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6" xfId="0" applyFont="1" applyBorder="1" applyAlignment="1">
      <alignment wrapText="1"/>
    </xf>
    <xf numFmtId="0" fontId="2" fillId="0" borderId="2" xfId="0" applyFont="1" applyBorder="1" applyAlignment="1">
      <alignment horizontal="justify" wrapText="1"/>
    </xf>
    <xf numFmtId="14" fontId="10" fillId="0" borderId="2" xfId="0" applyNumberFormat="1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0" borderId="8" xfId="0" applyFont="1" applyBorder="1"/>
    <xf numFmtId="0" fontId="10" fillId="0" borderId="12" xfId="0" applyFont="1" applyBorder="1" applyAlignment="1"/>
    <xf numFmtId="2" fontId="2" fillId="0" borderId="3" xfId="0" applyNumberFormat="1" applyFont="1" applyBorder="1" applyAlignment="1">
      <alignment horizontal="center" vertical="center"/>
    </xf>
    <xf numFmtId="0" fontId="3" fillId="0" borderId="13" xfId="0" applyFont="1" applyBorder="1"/>
    <xf numFmtId="2" fontId="1" fillId="0" borderId="0" xfId="0" applyNumberFormat="1" applyFont="1"/>
    <xf numFmtId="0" fontId="3" fillId="0" borderId="12" xfId="0" applyFont="1" applyBorder="1"/>
    <xf numFmtId="0" fontId="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/>
    <xf numFmtId="0" fontId="16" fillId="0" borderId="0" xfId="0" applyFont="1" applyAlignment="1"/>
    <xf numFmtId="0" fontId="16" fillId="0" borderId="0" xfId="0" applyFont="1" applyAlignment="1">
      <alignment horizontal="justify"/>
    </xf>
    <xf numFmtId="0" fontId="18" fillId="0" borderId="0" xfId="0" applyFont="1" applyAlignment="1">
      <alignment vertical="center" wrapText="1"/>
    </xf>
    <xf numFmtId="0" fontId="16" fillId="0" borderId="0" xfId="0" applyFont="1" applyBorder="1" applyAlignment="1">
      <alignment horizontal="center"/>
    </xf>
    <xf numFmtId="0" fontId="18" fillId="0" borderId="0" xfId="0" applyFont="1" applyAlignment="1">
      <alignment horizontal="justify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/>
    </xf>
    <xf numFmtId="0" fontId="18" fillId="0" borderId="6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vertical="center"/>
    </xf>
    <xf numFmtId="0" fontId="16" fillId="0" borderId="2" xfId="0" applyFont="1" applyBorder="1" applyAlignment="1"/>
    <xf numFmtId="0" fontId="16" fillId="0" borderId="3" xfId="0" applyFont="1" applyBorder="1" applyAlignment="1"/>
    <xf numFmtId="0" fontId="18" fillId="0" borderId="1" xfId="0" applyFont="1" applyBorder="1"/>
    <xf numFmtId="0" fontId="16" fillId="0" borderId="2" xfId="0" applyFont="1" applyBorder="1" applyAlignment="1">
      <alignment horizontal="justify"/>
    </xf>
    <xf numFmtId="0" fontId="18" fillId="0" borderId="1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164" fontId="16" fillId="0" borderId="3" xfId="0" applyNumberFormat="1" applyFont="1" applyBorder="1" applyAlignment="1">
      <alignment horizontal="center" vertical="center"/>
    </xf>
    <xf numFmtId="0" fontId="21" fillId="0" borderId="6" xfId="0" applyFont="1" applyBorder="1" applyAlignment="1"/>
    <xf numFmtId="0" fontId="21" fillId="0" borderId="3" xfId="0" applyFont="1" applyBorder="1" applyAlignment="1"/>
    <xf numFmtId="164" fontId="16" fillId="0" borderId="0" xfId="0" applyNumberFormat="1" applyFont="1" applyBorder="1" applyAlignment="1">
      <alignment horizontal="center" vertical="center"/>
    </xf>
    <xf numFmtId="164" fontId="16" fillId="0" borderId="5" xfId="0" applyNumberFormat="1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 wrapText="1"/>
    </xf>
    <xf numFmtId="14" fontId="20" fillId="0" borderId="2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12" fontId="16" fillId="0" borderId="3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justify" wrapText="1"/>
    </xf>
    <xf numFmtId="0" fontId="20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wrapText="1"/>
    </xf>
    <xf numFmtId="0" fontId="16" fillId="0" borderId="2" xfId="0" applyFont="1" applyBorder="1" applyAlignment="1">
      <alignment vertical="center"/>
    </xf>
    <xf numFmtId="0" fontId="18" fillId="0" borderId="5" xfId="0" applyFont="1" applyBorder="1"/>
    <xf numFmtId="0" fontId="18" fillId="0" borderId="8" xfId="0" applyFont="1" applyBorder="1"/>
    <xf numFmtId="2" fontId="16" fillId="0" borderId="3" xfId="0" applyNumberFormat="1" applyFont="1" applyBorder="1" applyAlignment="1">
      <alignment horizontal="center" vertical="center"/>
    </xf>
    <xf numFmtId="0" fontId="18" fillId="0" borderId="13" xfId="0" applyFont="1" applyBorder="1"/>
    <xf numFmtId="0" fontId="21" fillId="0" borderId="12" xfId="0" applyFont="1" applyBorder="1" applyAlignment="1"/>
    <xf numFmtId="0" fontId="18" fillId="0" borderId="4" xfId="0" applyFont="1" applyBorder="1" applyAlignment="1">
      <alignment vertical="center" wrapText="1"/>
    </xf>
    <xf numFmtId="2" fontId="21" fillId="0" borderId="1" xfId="0" applyNumberFormat="1" applyFont="1" applyBorder="1" applyAlignment="1">
      <alignment horizontal="center" vertical="center" wrapText="1"/>
    </xf>
    <xf numFmtId="2" fontId="21" fillId="0" borderId="4" xfId="0" applyNumberFormat="1" applyFont="1" applyBorder="1" applyAlignment="1">
      <alignment horizontal="center" vertical="center" wrapText="1"/>
    </xf>
    <xf numFmtId="164" fontId="21" fillId="0" borderId="5" xfId="0" applyNumberFormat="1" applyFont="1" applyBorder="1" applyAlignment="1">
      <alignment vertical="center"/>
    </xf>
    <xf numFmtId="0" fontId="18" fillId="0" borderId="0" xfId="0" applyFont="1" applyBorder="1"/>
    <xf numFmtId="0" fontId="16" fillId="0" borderId="0" xfId="0" applyFont="1" applyBorder="1" applyAlignment="1">
      <alignment horizontal="justify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wrapText="1"/>
    </xf>
    <xf numFmtId="164" fontId="16" fillId="0" borderId="0" xfId="0" applyNumberFormat="1" applyFont="1" applyBorder="1"/>
    <xf numFmtId="164" fontId="16" fillId="0" borderId="0" xfId="0" applyNumberFormat="1" applyFont="1" applyBorder="1" applyAlignment="1">
      <alignment horizontal="center"/>
    </xf>
    <xf numFmtId="2" fontId="18" fillId="0" borderId="0" xfId="0" applyNumberFormat="1" applyFont="1"/>
    <xf numFmtId="0" fontId="22" fillId="0" borderId="0" xfId="0" applyFont="1"/>
    <xf numFmtId="0" fontId="6" fillId="0" borderId="0" xfId="0" applyFont="1" applyAlignment="1"/>
    <xf numFmtId="0" fontId="6" fillId="0" borderId="0" xfId="0" applyFont="1" applyAlignment="1">
      <alignment horizontal="justify"/>
    </xf>
    <xf numFmtId="0" fontId="22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/>
    </xf>
    <xf numFmtId="0" fontId="22" fillId="0" borderId="0" xfId="0" applyFont="1" applyAlignment="1">
      <alignment horizontal="justify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/>
    </xf>
    <xf numFmtId="0" fontId="22" fillId="0" borderId="6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0" fontId="6" fillId="0" borderId="2" xfId="0" applyFont="1" applyBorder="1" applyAlignment="1"/>
    <xf numFmtId="0" fontId="6" fillId="0" borderId="3" xfId="0" applyFont="1" applyBorder="1" applyAlignment="1"/>
    <xf numFmtId="0" fontId="22" fillId="0" borderId="1" xfId="0" applyFont="1" applyBorder="1"/>
    <xf numFmtId="0" fontId="6" fillId="0" borderId="2" xfId="0" applyFont="1" applyBorder="1" applyAlignment="1">
      <alignment horizontal="justify"/>
    </xf>
    <xf numFmtId="0" fontId="22" fillId="0" borderId="1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15" fillId="0" borderId="6" xfId="0" applyFont="1" applyBorder="1" applyAlignment="1"/>
    <xf numFmtId="0" fontId="15" fillId="0" borderId="3" xfId="0" applyFont="1" applyBorder="1" applyAlignment="1"/>
    <xf numFmtId="164" fontId="6" fillId="0" borderId="0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 wrapText="1"/>
    </xf>
    <xf numFmtId="14" fontId="24" fillId="0" borderId="2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12" fontId="6" fillId="0" borderId="3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wrapText="1"/>
    </xf>
    <xf numFmtId="0" fontId="24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wrapText="1"/>
    </xf>
    <xf numFmtId="0" fontId="6" fillId="0" borderId="2" xfId="0" applyFont="1" applyBorder="1" applyAlignment="1">
      <alignment vertical="center"/>
    </xf>
    <xf numFmtId="0" fontId="22" fillId="0" borderId="5" xfId="0" applyFont="1" applyBorder="1"/>
    <xf numFmtId="0" fontId="22" fillId="0" borderId="8" xfId="0" applyFont="1" applyBorder="1"/>
    <xf numFmtId="2" fontId="6" fillId="0" borderId="3" xfId="0" applyNumberFormat="1" applyFont="1" applyBorder="1" applyAlignment="1">
      <alignment horizontal="center" vertical="center"/>
    </xf>
    <xf numFmtId="0" fontId="22" fillId="0" borderId="13" xfId="0" applyFont="1" applyBorder="1"/>
    <xf numFmtId="0" fontId="15" fillId="0" borderId="12" xfId="0" applyFont="1" applyBorder="1" applyAlignment="1"/>
    <xf numFmtId="0" fontId="22" fillId="0" borderId="4" xfId="0" applyFont="1" applyBorder="1" applyAlignment="1">
      <alignment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2" fontId="15" fillId="0" borderId="4" xfId="0" applyNumberFormat="1" applyFont="1" applyBorder="1" applyAlignment="1">
      <alignment horizontal="center" vertical="center" wrapText="1"/>
    </xf>
    <xf numFmtId="0" fontId="22" fillId="0" borderId="0" xfId="0" applyFont="1" applyBorder="1"/>
    <xf numFmtId="0" fontId="6" fillId="0" borderId="0" xfId="0" applyFont="1" applyBorder="1" applyAlignment="1">
      <alignment horizontal="justify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2" fontId="22" fillId="0" borderId="0" xfId="0" applyNumberFormat="1" applyFont="1"/>
    <xf numFmtId="165" fontId="2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25" fillId="0" borderId="1" xfId="0" applyNumberFormat="1" applyFont="1" applyBorder="1" applyAlignment="1">
      <alignment horizontal="center" vertical="center"/>
    </xf>
    <xf numFmtId="2" fontId="26" fillId="0" borderId="4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justify"/>
    </xf>
    <xf numFmtId="0" fontId="16" fillId="0" borderId="6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14" fontId="21" fillId="0" borderId="2" xfId="0" applyNumberFormat="1" applyFont="1" applyBorder="1" applyAlignment="1">
      <alignment vertical="center" wrapText="1"/>
    </xf>
    <xf numFmtId="164" fontId="16" fillId="0" borderId="7" xfId="0" applyNumberFormat="1" applyFont="1" applyBorder="1" applyAlignment="1">
      <alignment horizontal="center" vertical="center"/>
    </xf>
    <xf numFmtId="164" fontId="16" fillId="0" borderId="8" xfId="0" applyNumberFormat="1" applyFont="1" applyBorder="1" applyAlignment="1">
      <alignment horizontal="center" vertical="center"/>
    </xf>
    <xf numFmtId="164" fontId="16" fillId="0" borderId="9" xfId="0" applyNumberFormat="1" applyFont="1" applyBorder="1" applyAlignment="1">
      <alignment horizontal="center" vertical="center"/>
    </xf>
    <xf numFmtId="0" fontId="13" fillId="0" borderId="0" xfId="0" applyFont="1" applyAlignment="1">
      <alignment horizontal="justify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0" fillId="0" borderId="0" xfId="0" applyAlignment="1"/>
    <xf numFmtId="0" fontId="14" fillId="0" borderId="0" xfId="0" applyFont="1" applyAlignment="1"/>
    <xf numFmtId="0" fontId="1" fillId="0" borderId="0" xfId="0" applyFont="1" applyAlignment="1">
      <alignment vertical="center" wrapText="1"/>
    </xf>
    <xf numFmtId="0" fontId="2" fillId="0" borderId="6" xfId="0" applyFont="1" applyBorder="1" applyAlignment="1">
      <alignment vertical="center"/>
    </xf>
    <xf numFmtId="0" fontId="0" fillId="0" borderId="2" xfId="0" applyBorder="1" applyAlignment="1"/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Border="1" applyAlignment="1">
      <alignment horizontal="right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8" fillId="0" borderId="0" xfId="0" applyFont="1" applyAlignment="1">
      <alignment horizontal="justify"/>
    </xf>
    <xf numFmtId="0" fontId="17" fillId="0" borderId="0" xfId="0" applyFont="1" applyAlignment="1"/>
    <xf numFmtId="0" fontId="16" fillId="0" borderId="6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6" fillId="0" borderId="6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7" fillId="0" borderId="2" xfId="0" applyFont="1" applyBorder="1" applyAlignment="1"/>
    <xf numFmtId="0" fontId="16" fillId="0" borderId="6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/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17" fillId="0" borderId="2" xfId="0" applyFont="1" applyBorder="1" applyAlignment="1">
      <alignment vertical="center"/>
    </xf>
    <xf numFmtId="0" fontId="22" fillId="0" borderId="0" xfId="0" applyFont="1" applyAlignment="1">
      <alignment horizontal="justify"/>
    </xf>
    <xf numFmtId="0" fontId="11" fillId="0" borderId="0" xfId="0" applyFont="1" applyAlignment="1"/>
    <xf numFmtId="0" fontId="6" fillId="0" borderId="6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1" fillId="0" borderId="2" xfId="0" applyFont="1" applyBorder="1" applyAlignment="1"/>
    <xf numFmtId="0" fontId="6" fillId="0" borderId="6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/>
    <xf numFmtId="0" fontId="11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right"/>
    </xf>
    <xf numFmtId="0" fontId="22" fillId="0" borderId="0" xfId="0" applyFont="1" applyAlignment="1">
      <alignment horizontal="center"/>
    </xf>
    <xf numFmtId="0" fontId="11" fillId="0" borderId="2" xfId="0" applyFont="1" applyBorder="1" applyAlignment="1">
      <alignment vertical="center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0"/>
  <sheetViews>
    <sheetView tabSelected="1" view="pageBreakPreview" topLeftCell="C3" zoomScaleNormal="75" workbookViewId="0">
      <selection activeCell="J26" sqref="J26"/>
    </sheetView>
  </sheetViews>
  <sheetFormatPr defaultRowHeight="12.75"/>
  <cols>
    <col min="1" max="1" width="3.7109375" style="1" customWidth="1"/>
    <col min="2" max="2" width="15.7109375" style="11" customWidth="1"/>
    <col min="3" max="3" width="24.5703125" style="5" customWidth="1"/>
    <col min="4" max="4" width="14.140625" style="5" customWidth="1"/>
    <col min="5" max="5" width="12.28515625" style="10" customWidth="1"/>
    <col min="6" max="6" width="11.85546875" style="13" customWidth="1"/>
    <col min="7" max="7" width="4.28515625" style="13" customWidth="1"/>
    <col min="8" max="8" width="13.5703125" style="1" customWidth="1"/>
    <col min="9" max="9" width="15.85546875" style="1" customWidth="1"/>
    <col min="10" max="10" width="16.42578125" style="1" customWidth="1"/>
    <col min="11" max="11" width="13.85546875" style="1" customWidth="1"/>
    <col min="12" max="12" width="10.5703125" style="1" customWidth="1"/>
    <col min="13" max="13" width="13.140625" style="1" customWidth="1"/>
    <col min="14" max="14" width="14.5703125" style="1" customWidth="1"/>
    <col min="15" max="15" width="15.28515625" style="1" customWidth="1"/>
    <col min="16" max="16" width="13.5703125" style="1" customWidth="1"/>
    <col min="17" max="17" width="14.42578125" style="1" customWidth="1"/>
    <col min="18" max="16384" width="9.140625" style="1"/>
  </cols>
  <sheetData>
    <row r="1" spans="1:17" ht="11.25" customHeight="1">
      <c r="L1" s="208" t="s">
        <v>23</v>
      </c>
      <c r="M1" s="206"/>
      <c r="N1" s="206"/>
      <c r="O1" s="206"/>
      <c r="P1" s="206"/>
      <c r="Q1" s="206"/>
    </row>
    <row r="2" spans="1:17" ht="26.25" hidden="1" customHeight="1">
      <c r="L2" s="206"/>
      <c r="M2" s="206"/>
      <c r="N2" s="206"/>
      <c r="O2" s="206"/>
      <c r="P2" s="206"/>
      <c r="Q2" s="206"/>
    </row>
    <row r="3" spans="1:17" ht="21" customHeight="1">
      <c r="A3" s="223" t="s">
        <v>25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5"/>
      <c r="P3" s="225"/>
      <c r="Q3" s="225"/>
    </row>
    <row r="4" spans="1:17" ht="16.5" customHeight="1">
      <c r="B4" s="2"/>
      <c r="C4" s="2"/>
      <c r="D4" s="217" t="s">
        <v>79</v>
      </c>
      <c r="E4" s="218"/>
      <c r="F4" s="218"/>
      <c r="G4" s="218"/>
      <c r="H4" s="218"/>
      <c r="I4" s="218"/>
      <c r="J4" s="218"/>
      <c r="K4" s="218"/>
      <c r="L4" s="3"/>
      <c r="M4" s="3"/>
      <c r="N4" s="3"/>
      <c r="O4" s="3"/>
      <c r="P4" s="3"/>
      <c r="Q4" s="3"/>
    </row>
    <row r="5" spans="1:17" ht="9.75" customHeight="1">
      <c r="B5" s="4"/>
      <c r="E5" s="5"/>
      <c r="F5" s="7"/>
      <c r="G5" s="8"/>
      <c r="H5" s="8"/>
      <c r="I5" s="8"/>
      <c r="J5" s="8"/>
      <c r="K5" s="8"/>
      <c r="L5" s="8"/>
      <c r="M5" s="8"/>
      <c r="N5" s="215" t="s">
        <v>22</v>
      </c>
      <c r="O5" s="215"/>
      <c r="P5" s="8"/>
      <c r="Q5" s="8"/>
    </row>
    <row r="6" spans="1:17" ht="3" hidden="1" customHeight="1">
      <c r="B6" s="9"/>
      <c r="F6" s="6"/>
      <c r="G6" s="6"/>
    </row>
    <row r="7" spans="1:17" ht="7.5" hidden="1" customHeight="1">
      <c r="F7" s="219"/>
      <c r="G7" s="219"/>
      <c r="H7" s="219"/>
      <c r="I7" s="219"/>
      <c r="J7" s="219"/>
      <c r="K7" s="12"/>
    </row>
    <row r="8" spans="1:17" ht="5.25" hidden="1" customHeight="1"/>
    <row r="9" spans="1:17" ht="0.75" hidden="1" customHeight="1"/>
    <row r="10" spans="1:17" s="17" customFormat="1" ht="51.75" customHeight="1">
      <c r="A10" s="46" t="s">
        <v>4</v>
      </c>
      <c r="B10" s="14" t="s">
        <v>5</v>
      </c>
      <c r="C10" s="14" t="s">
        <v>6</v>
      </c>
      <c r="D10" s="15" t="s">
        <v>0</v>
      </c>
      <c r="E10" s="14" t="s">
        <v>1</v>
      </c>
      <c r="F10" s="15" t="s">
        <v>2</v>
      </c>
      <c r="G10" s="14" t="s">
        <v>7</v>
      </c>
      <c r="H10" s="15" t="s">
        <v>10</v>
      </c>
      <c r="I10" s="14" t="s">
        <v>8</v>
      </c>
      <c r="J10" s="16" t="s">
        <v>9</v>
      </c>
      <c r="K10" s="14" t="s">
        <v>18</v>
      </c>
      <c r="L10" s="14" t="s">
        <v>3</v>
      </c>
      <c r="M10" s="14" t="s">
        <v>11</v>
      </c>
      <c r="N10" s="186" t="s">
        <v>13</v>
      </c>
      <c r="O10" s="14" t="s">
        <v>14</v>
      </c>
      <c r="P10" s="14" t="s">
        <v>12</v>
      </c>
      <c r="Q10" s="14" t="s">
        <v>16</v>
      </c>
    </row>
    <row r="11" spans="1:17" s="43" customFormat="1" ht="10.5" customHeight="1">
      <c r="A11" s="14">
        <v>1</v>
      </c>
      <c r="B11" s="15">
        <v>2</v>
      </c>
      <c r="C11" s="14">
        <v>3</v>
      </c>
      <c r="D11" s="15">
        <v>4</v>
      </c>
      <c r="E11" s="14">
        <v>5</v>
      </c>
      <c r="F11" s="15">
        <v>6</v>
      </c>
      <c r="G11" s="14">
        <v>7</v>
      </c>
      <c r="H11" s="15">
        <v>8</v>
      </c>
      <c r="I11" s="14">
        <v>9</v>
      </c>
      <c r="J11" s="15">
        <v>10</v>
      </c>
      <c r="K11" s="15">
        <v>11</v>
      </c>
      <c r="L11" s="14">
        <v>12</v>
      </c>
      <c r="M11" s="15">
        <v>13</v>
      </c>
      <c r="N11" s="14">
        <v>14</v>
      </c>
      <c r="O11" s="15">
        <v>15</v>
      </c>
      <c r="P11" s="14">
        <v>16</v>
      </c>
      <c r="Q11" s="16">
        <v>17</v>
      </c>
    </row>
    <row r="12" spans="1:17" s="3" customFormat="1" ht="9.75" hidden="1" customHeight="1">
      <c r="A12" s="209" t="s">
        <v>19</v>
      </c>
      <c r="B12" s="222"/>
      <c r="C12" s="222"/>
      <c r="D12" s="222"/>
      <c r="E12" s="222"/>
      <c r="F12" s="222"/>
      <c r="G12" s="222"/>
      <c r="H12" s="222"/>
      <c r="I12" s="222"/>
      <c r="J12" s="222"/>
      <c r="K12" s="222"/>
      <c r="L12" s="222"/>
      <c r="M12" s="222"/>
      <c r="N12" s="41"/>
      <c r="O12" s="41"/>
      <c r="P12" s="41"/>
      <c r="Q12" s="42"/>
    </row>
    <row r="13" spans="1:17" s="3" customFormat="1" ht="12.75" hidden="1" customHeight="1">
      <c r="A13" s="28"/>
      <c r="B13" s="29"/>
      <c r="C13" s="30"/>
      <c r="D13" s="31"/>
      <c r="E13" s="32"/>
      <c r="F13" s="33"/>
      <c r="G13" s="34"/>
      <c r="H13" s="35"/>
      <c r="I13" s="36"/>
      <c r="J13" s="37"/>
      <c r="K13" s="36"/>
      <c r="L13" s="36"/>
      <c r="M13" s="36"/>
      <c r="N13" s="36"/>
      <c r="O13" s="36"/>
      <c r="P13" s="36"/>
      <c r="Q13" s="36"/>
    </row>
    <row r="14" spans="1:17" s="3" customFormat="1" ht="10.5" hidden="1" customHeight="1">
      <c r="A14" s="44" t="s">
        <v>15</v>
      </c>
      <c r="B14" s="45"/>
      <c r="C14" s="30"/>
      <c r="D14" s="31"/>
      <c r="E14" s="32"/>
      <c r="F14" s="33"/>
      <c r="G14" s="34"/>
      <c r="H14" s="35"/>
      <c r="I14" s="36"/>
      <c r="J14" s="37"/>
      <c r="K14" s="36"/>
      <c r="L14" s="36"/>
      <c r="M14" s="36"/>
      <c r="N14" s="36"/>
      <c r="O14" s="36"/>
      <c r="P14" s="36"/>
      <c r="Q14" s="36"/>
    </row>
    <row r="15" spans="1:17" s="3" customFormat="1" ht="17.25" customHeight="1">
      <c r="A15" s="220" t="s">
        <v>20</v>
      </c>
      <c r="B15" s="221"/>
      <c r="C15" s="221"/>
      <c r="D15" s="221"/>
      <c r="E15" s="221"/>
      <c r="F15" s="221"/>
      <c r="G15" s="221"/>
      <c r="H15" s="221"/>
      <c r="I15" s="221"/>
      <c r="J15" s="221"/>
      <c r="K15" s="221"/>
      <c r="L15" s="221"/>
      <c r="M15" s="221"/>
      <c r="N15" s="38"/>
      <c r="O15" s="38"/>
      <c r="P15" s="38"/>
      <c r="Q15" s="39"/>
    </row>
    <row r="16" spans="1:17" s="3" customFormat="1" ht="87" hidden="1" customHeight="1">
      <c r="A16" s="28">
        <v>1</v>
      </c>
      <c r="B16" s="29" t="s">
        <v>28</v>
      </c>
      <c r="C16" s="30" t="s">
        <v>29</v>
      </c>
      <c r="D16" s="31" t="s">
        <v>26</v>
      </c>
      <c r="E16" s="47"/>
      <c r="F16" s="48"/>
      <c r="G16" s="64"/>
      <c r="H16" s="36"/>
      <c r="I16" s="36"/>
      <c r="J16" s="36"/>
      <c r="K16" s="36">
        <f>H16-J16</f>
        <v>0</v>
      </c>
      <c r="L16" s="52">
        <v>0.25</v>
      </c>
      <c r="M16" s="50"/>
      <c r="N16" s="50"/>
      <c r="O16" s="50"/>
      <c r="P16" s="47">
        <f>N16-O16</f>
        <v>0</v>
      </c>
      <c r="Q16" s="50">
        <f>K16+P16</f>
        <v>0</v>
      </c>
    </row>
    <row r="17" spans="1:17" s="3" customFormat="1" ht="69" hidden="1" customHeight="1" thickBot="1">
      <c r="A17" s="28"/>
      <c r="B17" s="29"/>
      <c r="C17" s="30"/>
      <c r="D17" s="31"/>
      <c r="E17" s="47"/>
      <c r="F17" s="63"/>
      <c r="G17" s="66"/>
      <c r="H17" s="53"/>
      <c r="I17" s="54"/>
      <c r="J17" s="55"/>
      <c r="K17" s="36"/>
      <c r="L17" s="52"/>
      <c r="M17" s="50"/>
      <c r="N17" s="50"/>
      <c r="O17" s="50"/>
      <c r="P17" s="50"/>
      <c r="Q17" s="50"/>
    </row>
    <row r="18" spans="1:17" s="3" customFormat="1" ht="43.5" hidden="1" customHeight="1">
      <c r="A18" s="28"/>
      <c r="B18" s="29"/>
      <c r="C18" s="30"/>
      <c r="D18" s="31"/>
      <c r="E18" s="32"/>
      <c r="F18" s="48"/>
      <c r="G18" s="65"/>
      <c r="H18" s="53"/>
      <c r="I18" s="54"/>
      <c r="J18" s="55"/>
      <c r="K18" s="36"/>
      <c r="L18" s="49"/>
      <c r="M18" s="50"/>
      <c r="N18" s="50"/>
      <c r="O18" s="50"/>
      <c r="P18" s="50"/>
      <c r="Q18" s="50"/>
    </row>
    <row r="19" spans="1:17" s="3" customFormat="1" ht="62.25" hidden="1" customHeight="1">
      <c r="A19" s="28">
        <v>2</v>
      </c>
      <c r="B19" s="62" t="s">
        <v>24</v>
      </c>
      <c r="C19" s="30" t="s">
        <v>33</v>
      </c>
      <c r="D19" s="31" t="s">
        <v>26</v>
      </c>
      <c r="E19" s="47"/>
      <c r="F19" s="48"/>
      <c r="G19" s="51"/>
      <c r="H19" s="36"/>
      <c r="I19" s="36"/>
      <c r="J19" s="36"/>
      <c r="K19" s="36">
        <f>H19-J19</f>
        <v>0</v>
      </c>
      <c r="L19" s="52">
        <v>0.25</v>
      </c>
      <c r="M19" s="50"/>
      <c r="N19" s="50"/>
      <c r="O19" s="50"/>
      <c r="P19" s="50">
        <f>N19-O19</f>
        <v>0</v>
      </c>
      <c r="Q19" s="50">
        <f t="shared" ref="Q19:Q27" si="0">K19+P19</f>
        <v>0</v>
      </c>
    </row>
    <row r="20" spans="1:17" s="3" customFormat="1" ht="15.75" hidden="1" customHeight="1">
      <c r="A20" s="61"/>
      <c r="B20" s="62"/>
      <c r="C20" s="30"/>
      <c r="D20" s="31"/>
      <c r="E20" s="47"/>
      <c r="F20" s="48"/>
      <c r="G20" s="51"/>
      <c r="H20" s="36"/>
      <c r="I20" s="36"/>
      <c r="J20" s="36"/>
      <c r="K20" s="36">
        <f t="shared" ref="K20:K27" si="1">H20+I20-J20</f>
        <v>0</v>
      </c>
      <c r="L20" s="52"/>
      <c r="M20" s="50"/>
      <c r="N20" s="50"/>
      <c r="O20" s="50"/>
      <c r="P20" s="50">
        <f t="shared" ref="P20:P27" si="2">N20-O20+M20</f>
        <v>0</v>
      </c>
      <c r="Q20" s="50">
        <f t="shared" si="0"/>
        <v>0</v>
      </c>
    </row>
    <row r="21" spans="1:17" s="3" customFormat="1" ht="45.75" customHeight="1">
      <c r="A21" s="61"/>
      <c r="B21" s="62" t="s">
        <v>24</v>
      </c>
      <c r="C21" s="30" t="s">
        <v>38</v>
      </c>
      <c r="D21" s="31" t="s">
        <v>26</v>
      </c>
      <c r="E21" s="47">
        <v>7000000</v>
      </c>
      <c r="F21" s="48">
        <v>42148</v>
      </c>
      <c r="G21" s="51"/>
      <c r="H21" s="36">
        <v>1064000</v>
      </c>
      <c r="I21" s="36"/>
      <c r="J21" s="50">
        <f>212000+212000+212000+212000+216000</f>
        <v>1064000</v>
      </c>
      <c r="K21" s="36">
        <f t="shared" si="1"/>
        <v>0</v>
      </c>
      <c r="L21" s="184">
        <v>2.75</v>
      </c>
      <c r="M21" s="50">
        <v>2548.9899999999998</v>
      </c>
      <c r="N21" s="50">
        <f>2277.45+1493.89+11.43+1747.96+113.92</f>
        <v>5644.65</v>
      </c>
      <c r="O21" s="50">
        <f>2548.99+2277.45+1493.89+11.43+1747.96+113.92</f>
        <v>8193.64</v>
      </c>
      <c r="P21" s="50">
        <f t="shared" si="2"/>
        <v>0</v>
      </c>
      <c r="Q21" s="50">
        <f t="shared" si="0"/>
        <v>0</v>
      </c>
    </row>
    <row r="22" spans="1:17" s="3" customFormat="1" ht="36.75" customHeight="1">
      <c r="A22" s="61"/>
      <c r="B22" s="62" t="s">
        <v>24</v>
      </c>
      <c r="C22" s="30" t="s">
        <v>39</v>
      </c>
      <c r="D22" s="31" t="s">
        <v>26</v>
      </c>
      <c r="E22" s="47">
        <v>4000000</v>
      </c>
      <c r="F22" s="48">
        <v>41998</v>
      </c>
      <c r="G22" s="51"/>
      <c r="H22" s="36">
        <v>0</v>
      </c>
      <c r="I22" s="36"/>
      <c r="J22" s="50">
        <v>0</v>
      </c>
      <c r="K22" s="36">
        <f t="shared" si="1"/>
        <v>0</v>
      </c>
      <c r="L22" s="184">
        <v>2.75</v>
      </c>
      <c r="M22" s="50">
        <v>90.71</v>
      </c>
      <c r="N22" s="50">
        <v>0</v>
      </c>
      <c r="O22" s="50">
        <v>90.71</v>
      </c>
      <c r="P22" s="50">
        <f t="shared" si="2"/>
        <v>0</v>
      </c>
      <c r="Q22" s="50">
        <f t="shared" si="0"/>
        <v>0</v>
      </c>
    </row>
    <row r="23" spans="1:17" s="3" customFormat="1" ht="33.75" customHeight="1">
      <c r="A23" s="61"/>
      <c r="B23" s="62" t="s">
        <v>24</v>
      </c>
      <c r="C23" s="30" t="s">
        <v>42</v>
      </c>
      <c r="D23" s="31" t="s">
        <v>26</v>
      </c>
      <c r="E23" s="47">
        <v>3000000</v>
      </c>
      <c r="F23" s="48">
        <v>42333</v>
      </c>
      <c r="G23" s="51"/>
      <c r="H23" s="36">
        <v>2250000</v>
      </c>
      <c r="I23" s="36"/>
      <c r="J23" s="50">
        <f>225000+225000+225000+225000+225000</f>
        <v>1125000</v>
      </c>
      <c r="K23" s="36">
        <f t="shared" si="1"/>
        <v>1125000</v>
      </c>
      <c r="L23" s="184">
        <v>2.75</v>
      </c>
      <c r="M23" s="50">
        <v>5255.14</v>
      </c>
      <c r="N23" s="50">
        <f>5255.14+4746.58+4882.19+4204.11+3797.27+3186.99</f>
        <v>26072.28</v>
      </c>
      <c r="O23" s="50">
        <f>5255.14+5255.14+4746.58+4882.19+4204.11+3797.27</f>
        <v>28140.43</v>
      </c>
      <c r="P23" s="50">
        <f t="shared" si="2"/>
        <v>3186.9899999999989</v>
      </c>
      <c r="Q23" s="50">
        <f t="shared" si="0"/>
        <v>1128186.99</v>
      </c>
    </row>
    <row r="24" spans="1:17" s="3" customFormat="1" ht="26.25" customHeight="1">
      <c r="A24" s="61"/>
      <c r="B24" s="62" t="s">
        <v>24</v>
      </c>
      <c r="C24" s="30" t="s">
        <v>45</v>
      </c>
      <c r="D24" s="31" t="s">
        <v>26</v>
      </c>
      <c r="E24" s="47">
        <v>2000000</v>
      </c>
      <c r="F24" s="48">
        <v>42333</v>
      </c>
      <c r="G24" s="51"/>
      <c r="H24" s="36">
        <v>1000000</v>
      </c>
      <c r="I24" s="36"/>
      <c r="J24" s="36">
        <f>200000+200000+200000+200000+200000</f>
        <v>1000000</v>
      </c>
      <c r="K24" s="36">
        <f t="shared" si="1"/>
        <v>0</v>
      </c>
      <c r="L24" s="184">
        <v>2.75</v>
      </c>
      <c r="M24" s="50">
        <v>2395.89</v>
      </c>
      <c r="N24" s="50">
        <f>2139.72+1401.37+1069.86+572.61+105.48</f>
        <v>5289.0399999999991</v>
      </c>
      <c r="O24" s="50">
        <f>2395.89+2139.72+1401.37+1069.86+572.61+105.48</f>
        <v>7684.9299999999985</v>
      </c>
      <c r="P24" s="50">
        <f t="shared" si="2"/>
        <v>0</v>
      </c>
      <c r="Q24" s="50">
        <f t="shared" si="0"/>
        <v>0</v>
      </c>
    </row>
    <row r="25" spans="1:17" s="3" customFormat="1" ht="30.75" customHeight="1">
      <c r="A25" s="61"/>
      <c r="B25" s="62" t="s">
        <v>24</v>
      </c>
      <c r="C25" s="30" t="s">
        <v>47</v>
      </c>
      <c r="D25" s="31" t="s">
        <v>26</v>
      </c>
      <c r="E25" s="47">
        <v>780000</v>
      </c>
      <c r="F25" s="48">
        <v>42210</v>
      </c>
      <c r="G25" s="51"/>
      <c r="H25" s="36">
        <v>780000</v>
      </c>
      <c r="I25" s="36"/>
      <c r="J25" s="36">
        <v>260000</v>
      </c>
      <c r="K25" s="36">
        <f t="shared" si="1"/>
        <v>520000</v>
      </c>
      <c r="L25" s="184">
        <v>2.75</v>
      </c>
      <c r="M25" s="50">
        <v>1821.78</v>
      </c>
      <c r="N25" s="50">
        <f>1821.78+1645.48+1821.78+1763.01+1821.78+1332.06</f>
        <v>10205.89</v>
      </c>
      <c r="O25" s="50">
        <f>1821.78+1821.78+1645.48+1821.78+1763.01+182.78+1639</f>
        <v>10695.61</v>
      </c>
      <c r="P25" s="50">
        <f t="shared" si="2"/>
        <v>1332.0599999999988</v>
      </c>
      <c r="Q25" s="50">
        <f t="shared" si="0"/>
        <v>521332.06</v>
      </c>
    </row>
    <row r="26" spans="1:17" s="3" customFormat="1" ht="30.75" customHeight="1">
      <c r="A26" s="61"/>
      <c r="B26" s="62" t="s">
        <v>24</v>
      </c>
      <c r="C26" s="30" t="s">
        <v>50</v>
      </c>
      <c r="D26" s="31" t="s">
        <v>26</v>
      </c>
      <c r="E26" s="47">
        <v>5000000</v>
      </c>
      <c r="F26" s="48">
        <v>42699</v>
      </c>
      <c r="G26" s="51"/>
      <c r="H26" s="36">
        <v>5000000</v>
      </c>
      <c r="I26" s="36"/>
      <c r="J26" s="36">
        <v>250000</v>
      </c>
      <c r="K26" s="36">
        <f t="shared" si="1"/>
        <v>4750000</v>
      </c>
      <c r="L26" s="184">
        <v>2.75</v>
      </c>
      <c r="M26" s="50">
        <v>11678.08</v>
      </c>
      <c r="N26" s="50">
        <f>43849.32+11152.57+10264.5+113.92</f>
        <v>65380.31</v>
      </c>
      <c r="O26" s="50">
        <f>11678.08+11678.08+10225.86+11152.57+10792.81+11152.57</f>
        <v>66679.97</v>
      </c>
      <c r="P26" s="50">
        <f t="shared" si="2"/>
        <v>10378.419999999996</v>
      </c>
      <c r="Q26" s="50">
        <f t="shared" si="0"/>
        <v>4760378.42</v>
      </c>
    </row>
    <row r="27" spans="1:17" s="3" customFormat="1" ht="30.75" customHeight="1">
      <c r="A27" s="61"/>
      <c r="B27" s="62" t="s">
        <v>24</v>
      </c>
      <c r="C27" s="30" t="s">
        <v>70</v>
      </c>
      <c r="D27" s="31" t="s">
        <v>26</v>
      </c>
      <c r="E27" s="47">
        <v>3000000</v>
      </c>
      <c r="F27" s="48">
        <v>43064</v>
      </c>
      <c r="G27" s="51"/>
      <c r="H27" s="36">
        <v>3000000</v>
      </c>
      <c r="I27" s="36"/>
      <c r="J27" s="36"/>
      <c r="K27" s="36">
        <f t="shared" si="1"/>
        <v>3000000</v>
      </c>
      <c r="L27" s="184"/>
      <c r="M27" s="50">
        <v>1582.19</v>
      </c>
      <c r="N27" s="50">
        <f>7006.85+6328.77+7006.85+6780.82+7006.85+6780.82</f>
        <v>40910.959999999999</v>
      </c>
      <c r="O27" s="50">
        <f>1582.19+7006.85+6328.77+7006.85+6780.82+7006.85</f>
        <v>35712.33</v>
      </c>
      <c r="P27" s="50">
        <f t="shared" si="2"/>
        <v>6780.8199999999979</v>
      </c>
      <c r="Q27" s="50">
        <f t="shared" si="0"/>
        <v>3006780.82</v>
      </c>
    </row>
    <row r="28" spans="1:17" s="3" customFormat="1" ht="18.75" customHeight="1">
      <c r="A28" s="44" t="s">
        <v>15</v>
      </c>
      <c r="B28" s="45"/>
      <c r="C28" s="30"/>
      <c r="D28" s="31"/>
      <c r="E28" s="47">
        <f>E21+E22+E23+E24+E25+E26</f>
        <v>21780000</v>
      </c>
      <c r="F28" s="47"/>
      <c r="G28" s="47"/>
      <c r="H28" s="47">
        <f>H21+H22+H23+H24+H25+H26+H27</f>
        <v>13094000</v>
      </c>
      <c r="I28" s="47"/>
      <c r="J28" s="47">
        <f>J16+J18+J19+J20+J17+J21+J22+J23+J24+J25+J26+J27</f>
        <v>3699000</v>
      </c>
      <c r="K28" s="47">
        <f>K21+K22+K23+K24+K25+K26+K27</f>
        <v>9395000</v>
      </c>
      <c r="L28" s="47"/>
      <c r="M28" s="47">
        <f>M21+M22+M23+M24+M25+M26+M27</f>
        <v>25372.78</v>
      </c>
      <c r="N28" s="47">
        <f>N21+N22+N23+N24+N25+N26+N27</f>
        <v>153503.13</v>
      </c>
      <c r="O28" s="47">
        <f>O21+O22+O23+O24+O25+O26+O27</f>
        <v>157197.62</v>
      </c>
      <c r="P28" s="47">
        <f>P21+P22+P23+P24+P25+P26+P27</f>
        <v>21678.289999999994</v>
      </c>
      <c r="Q28" s="187">
        <f>K28+P28</f>
        <v>9416678.2899999991</v>
      </c>
    </row>
    <row r="29" spans="1:17" s="3" customFormat="1" ht="25.5" customHeight="1">
      <c r="A29" s="209" t="s">
        <v>21</v>
      </c>
      <c r="B29" s="216"/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Q29" s="40"/>
    </row>
    <row r="30" spans="1:17" s="3" customFormat="1" ht="48.75" hidden="1" customHeight="1">
      <c r="A30" s="59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Q30" s="40"/>
    </row>
    <row r="31" spans="1:17" s="3" customFormat="1" ht="0.75" customHeight="1" thickBot="1">
      <c r="A31" s="67"/>
      <c r="B31" s="29" t="s">
        <v>34</v>
      </c>
      <c r="C31" s="30" t="s">
        <v>30</v>
      </c>
      <c r="D31" s="31" t="s">
        <v>31</v>
      </c>
      <c r="E31" s="32">
        <v>3200000</v>
      </c>
      <c r="F31" s="48">
        <v>40619</v>
      </c>
      <c r="G31" s="34"/>
      <c r="H31" s="35"/>
      <c r="I31" s="36"/>
      <c r="J31" s="69"/>
      <c r="K31" s="50">
        <f>H31-J31</f>
        <v>0</v>
      </c>
      <c r="L31" s="36">
        <v>16</v>
      </c>
      <c r="M31" s="36"/>
      <c r="N31" s="50"/>
      <c r="O31" s="50"/>
      <c r="P31" s="47">
        <f>N31-O31</f>
        <v>0</v>
      </c>
      <c r="Q31" s="50">
        <f>K31+P31</f>
        <v>0</v>
      </c>
    </row>
    <row r="32" spans="1:17" s="3" customFormat="1" ht="53.25" customHeight="1">
      <c r="A32" s="70"/>
      <c r="B32" s="29" t="s">
        <v>34</v>
      </c>
      <c r="C32" s="30" t="s">
        <v>77</v>
      </c>
      <c r="D32" s="31" t="s">
        <v>31</v>
      </c>
      <c r="E32" s="32"/>
      <c r="F32" s="48"/>
      <c r="G32" s="34"/>
      <c r="H32" s="35"/>
      <c r="I32" s="36"/>
      <c r="J32" s="69"/>
      <c r="K32" s="36"/>
      <c r="L32" s="36"/>
      <c r="M32" s="36"/>
      <c r="N32" s="50">
        <v>-20936.759999999998</v>
      </c>
      <c r="O32" s="50">
        <v>-20936.759999999998</v>
      </c>
      <c r="P32" s="47">
        <v>0</v>
      </c>
      <c r="Q32" s="50">
        <v>0</v>
      </c>
    </row>
    <row r="33" spans="1:17" s="3" customFormat="1" ht="59.25" customHeight="1">
      <c r="A33" s="72"/>
      <c r="B33" s="29" t="s">
        <v>37</v>
      </c>
      <c r="C33" s="30" t="s">
        <v>49</v>
      </c>
      <c r="D33" s="31" t="s">
        <v>46</v>
      </c>
      <c r="E33" s="32">
        <v>8000000</v>
      </c>
      <c r="F33" s="48">
        <v>42243</v>
      </c>
      <c r="G33" s="34"/>
      <c r="H33" s="35">
        <v>2670000</v>
      </c>
      <c r="I33" s="36"/>
      <c r="J33" s="69">
        <f>533000+533000+533000+533000+538000</f>
        <v>2670000</v>
      </c>
      <c r="K33" s="50">
        <f>I33-J33+H33</f>
        <v>0</v>
      </c>
      <c r="L33" s="50">
        <v>10.5</v>
      </c>
      <c r="M33" s="36"/>
      <c r="N33" s="50">
        <f>22890.58+16906.44+13230.86+3859.18-454.3+8332.9</f>
        <v>64765.66</v>
      </c>
      <c r="O33" s="50">
        <f>53027.88+3404.88+8332.9</f>
        <v>64765.659999999996</v>
      </c>
      <c r="P33" s="47">
        <f>N33-O33</f>
        <v>0</v>
      </c>
      <c r="Q33" s="50">
        <f>K33+P33</f>
        <v>0</v>
      </c>
    </row>
    <row r="34" spans="1:17" s="3" customFormat="1" ht="59.25" customHeight="1">
      <c r="A34" s="72"/>
      <c r="B34" s="29" t="s">
        <v>37</v>
      </c>
      <c r="C34" s="30" t="s">
        <v>68</v>
      </c>
      <c r="D34" s="31" t="s">
        <v>69</v>
      </c>
      <c r="E34" s="32">
        <v>8000000</v>
      </c>
      <c r="F34" s="48">
        <v>42524</v>
      </c>
      <c r="G34" s="34"/>
      <c r="H34" s="35">
        <v>8000000</v>
      </c>
      <c r="I34" s="36"/>
      <c r="J34" s="69">
        <f>445000+445000+445000+445000+445000+445000</f>
        <v>2670000</v>
      </c>
      <c r="K34" s="50">
        <f>I34-J34+H34</f>
        <v>5330000</v>
      </c>
      <c r="L34" s="50">
        <v>13.3</v>
      </c>
      <c r="M34" s="36"/>
      <c r="N34" s="50">
        <f>89718.52+76757.4+79178.72+68801.08+71885.59+62318.7</f>
        <v>448660.00999999995</v>
      </c>
      <c r="O34" s="50">
        <f>245654.64+68801.08+71885.59+62318.7</f>
        <v>448660.01000000007</v>
      </c>
      <c r="P34" s="47">
        <f>N34-O34</f>
        <v>0</v>
      </c>
      <c r="Q34" s="50">
        <f>K34+P34</f>
        <v>5330000</v>
      </c>
    </row>
    <row r="35" spans="1:17" s="3" customFormat="1" ht="15" customHeight="1">
      <c r="A35" s="68" t="s">
        <v>15</v>
      </c>
      <c r="B35" s="45"/>
      <c r="C35" s="30"/>
      <c r="D35" s="31"/>
      <c r="E35" s="32">
        <f>E33+E34</f>
        <v>16000000</v>
      </c>
      <c r="F35" s="32">
        <f t="shared" ref="F35:Q35" si="3">F33+F34</f>
        <v>84767</v>
      </c>
      <c r="G35" s="32"/>
      <c r="H35" s="32">
        <f t="shared" si="3"/>
        <v>10670000</v>
      </c>
      <c r="I35" s="32">
        <f t="shared" si="3"/>
        <v>0</v>
      </c>
      <c r="J35" s="47">
        <f t="shared" si="3"/>
        <v>5340000</v>
      </c>
      <c r="K35" s="32">
        <f t="shared" si="3"/>
        <v>5330000</v>
      </c>
      <c r="L35" s="32"/>
      <c r="M35" s="32"/>
      <c r="N35" s="47">
        <f>N33+N34+N32</f>
        <v>492488.90999999992</v>
      </c>
      <c r="O35" s="47">
        <f>O33+O34+O32</f>
        <v>492488.91000000003</v>
      </c>
      <c r="P35" s="47">
        <f>P33+P34+P32</f>
        <v>0</v>
      </c>
      <c r="Q35" s="47">
        <f t="shared" si="3"/>
        <v>5330000</v>
      </c>
    </row>
    <row r="36" spans="1:17" s="3" customFormat="1" ht="10.5" customHeight="1">
      <c r="A36" s="209"/>
      <c r="B36" s="210"/>
      <c r="C36" s="210"/>
      <c r="D36" s="210"/>
      <c r="E36" s="210"/>
      <c r="F36" s="210"/>
      <c r="G36" s="210"/>
      <c r="H36" s="210"/>
      <c r="I36" s="210"/>
      <c r="J36" s="210"/>
      <c r="K36" s="210"/>
      <c r="L36" s="210"/>
      <c r="M36" s="210"/>
      <c r="Q36" s="40"/>
    </row>
    <row r="37" spans="1:17" s="3" customFormat="1" ht="10.5" customHeight="1">
      <c r="A37" s="28"/>
      <c r="B37" s="29"/>
      <c r="C37" s="30"/>
      <c r="D37" s="31"/>
      <c r="E37" s="32"/>
      <c r="F37" s="33"/>
      <c r="G37" s="34"/>
      <c r="H37" s="35"/>
      <c r="I37" s="36"/>
      <c r="J37" s="37"/>
      <c r="K37" s="36"/>
      <c r="L37" s="36"/>
      <c r="M37" s="36"/>
      <c r="N37" s="36"/>
      <c r="O37" s="36"/>
      <c r="P37" s="36"/>
      <c r="Q37" s="36"/>
    </row>
    <row r="38" spans="1:17" s="3" customFormat="1" ht="12.75" customHeight="1">
      <c r="A38" s="44" t="s">
        <v>15</v>
      </c>
      <c r="B38" s="45"/>
      <c r="C38" s="30"/>
      <c r="D38" s="31"/>
      <c r="E38" s="32"/>
      <c r="F38" s="33"/>
      <c r="G38" s="34"/>
      <c r="H38" s="35"/>
      <c r="I38" s="36"/>
      <c r="J38" s="37"/>
      <c r="K38" s="36"/>
      <c r="L38" s="36"/>
      <c r="M38" s="36"/>
      <c r="N38" s="36"/>
      <c r="O38" s="36"/>
      <c r="P38" s="36"/>
      <c r="Q38" s="36"/>
    </row>
    <row r="39" spans="1:17" s="24" customFormat="1" ht="23.25" customHeight="1">
      <c r="A39" s="211" t="s">
        <v>17</v>
      </c>
      <c r="B39" s="212"/>
      <c r="C39" s="213"/>
      <c r="D39" s="213"/>
      <c r="E39" s="213"/>
      <c r="F39" s="214"/>
      <c r="G39" s="23"/>
      <c r="H39" s="57">
        <f>H28+H35</f>
        <v>23764000</v>
      </c>
      <c r="I39" s="57">
        <f>I28+I35</f>
        <v>0</v>
      </c>
      <c r="J39" s="56">
        <f>J28+J35</f>
        <v>9039000</v>
      </c>
      <c r="K39" s="56">
        <f>K28+K35</f>
        <v>14725000</v>
      </c>
      <c r="L39" s="58"/>
      <c r="M39" s="56">
        <f>M28+M35</f>
        <v>25372.78</v>
      </c>
      <c r="N39" s="56">
        <f>N28+N35</f>
        <v>645992.03999999992</v>
      </c>
      <c r="O39" s="56">
        <f>O28+O35</f>
        <v>649686.53</v>
      </c>
      <c r="P39" s="56">
        <f>P28+P35</f>
        <v>21678.289999999994</v>
      </c>
      <c r="Q39" s="188">
        <f>Q28+Q35</f>
        <v>14746678.289999999</v>
      </c>
    </row>
    <row r="40" spans="1:17" ht="10.5" customHeight="1">
      <c r="A40" s="18"/>
      <c r="B40" s="25"/>
      <c r="C40" s="19"/>
      <c r="D40" s="19"/>
      <c r="E40" s="20"/>
      <c r="F40" s="22"/>
      <c r="G40" s="22"/>
      <c r="H40" s="26"/>
      <c r="I40" s="27"/>
      <c r="J40" s="27"/>
      <c r="K40" s="26"/>
      <c r="L40" s="26"/>
      <c r="M40" s="26"/>
      <c r="N40" s="26"/>
      <c r="O40" s="26"/>
      <c r="P40" s="26"/>
      <c r="Q40" s="26"/>
    </row>
    <row r="41" spans="1:17">
      <c r="N41" s="71"/>
    </row>
    <row r="42" spans="1:17" ht="17.25" customHeight="1">
      <c r="B42" s="201" t="s">
        <v>51</v>
      </c>
      <c r="C42" s="202"/>
      <c r="D42" s="202"/>
      <c r="E42" s="203"/>
      <c r="F42" s="204"/>
      <c r="G42" s="204"/>
      <c r="H42" s="205"/>
      <c r="I42" s="206"/>
      <c r="J42" s="206"/>
      <c r="K42" s="206"/>
    </row>
    <row r="45" spans="1:17" ht="15.75">
      <c r="B45" s="201" t="s">
        <v>71</v>
      </c>
      <c r="C45" s="207"/>
      <c r="D45" s="207"/>
      <c r="E45" s="207"/>
      <c r="F45" s="207"/>
      <c r="G45" s="207"/>
      <c r="H45" s="207"/>
      <c r="I45" s="207"/>
      <c r="J45" s="207"/>
      <c r="K45" s="207"/>
    </row>
    <row r="47" spans="1:17">
      <c r="C47" s="5" t="s">
        <v>27</v>
      </c>
    </row>
    <row r="59" spans="3:3" ht="16.5" customHeight="1"/>
    <row r="60" spans="3:3" ht="30" customHeight="1">
      <c r="C60" s="21"/>
    </row>
  </sheetData>
  <mergeCells count="12">
    <mergeCell ref="B42:K42"/>
    <mergeCell ref="B45:K45"/>
    <mergeCell ref="L1:Q2"/>
    <mergeCell ref="A36:M36"/>
    <mergeCell ref="A39:F39"/>
    <mergeCell ref="N5:O5"/>
    <mergeCell ref="A29:M29"/>
    <mergeCell ref="D4:K4"/>
    <mergeCell ref="F7:J7"/>
    <mergeCell ref="A15:M15"/>
    <mergeCell ref="A12:M12"/>
    <mergeCell ref="A3:Q3"/>
  </mergeCells>
  <phoneticPr fontId="8" type="noConversion"/>
  <pageMargins left="0.53" right="0.34" top="0.2" bottom="0.34" header="0.5" footer="0.16"/>
  <pageSetup paperSize="9" scale="59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Q36"/>
  <sheetViews>
    <sheetView view="pageBreakPreview" topLeftCell="C1" workbookViewId="0">
      <selection activeCell="N16" sqref="N16"/>
    </sheetView>
  </sheetViews>
  <sheetFormatPr defaultRowHeight="12.75"/>
  <cols>
    <col min="3" max="3" width="12.140625" customWidth="1"/>
    <col min="5" max="6" width="12.5703125" customWidth="1"/>
    <col min="7" max="7" width="12.7109375" customWidth="1"/>
    <col min="8" max="8" width="14.140625" customWidth="1"/>
    <col min="9" max="9" width="12.28515625" customWidth="1"/>
    <col min="10" max="10" width="13.28515625" customWidth="1"/>
    <col min="11" max="11" width="11.7109375" customWidth="1"/>
    <col min="13" max="13" width="9.5703125" bestFit="1" customWidth="1"/>
    <col min="14" max="14" width="11.42578125" customWidth="1"/>
    <col min="15" max="15" width="11.140625" customWidth="1"/>
    <col min="16" max="16" width="13.140625" customWidth="1"/>
    <col min="17" max="17" width="13.7109375" customWidth="1"/>
  </cols>
  <sheetData>
    <row r="1" spans="1:17" ht="18">
      <c r="A1" s="223" t="s">
        <v>35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5"/>
      <c r="P1" s="225"/>
      <c r="Q1" s="225"/>
    </row>
    <row r="2" spans="1:17" ht="15">
      <c r="A2" s="1"/>
      <c r="B2" s="2"/>
      <c r="C2" s="2"/>
      <c r="D2" s="217" t="s">
        <v>80</v>
      </c>
      <c r="E2" s="218"/>
      <c r="F2" s="218"/>
      <c r="G2" s="218"/>
      <c r="H2" s="218"/>
      <c r="I2" s="218"/>
      <c r="J2" s="218"/>
      <c r="K2" s="218"/>
      <c r="L2" s="3"/>
      <c r="M2" s="3"/>
      <c r="N2" s="3"/>
      <c r="O2" s="3"/>
      <c r="P2" s="3"/>
      <c r="Q2" s="3"/>
    </row>
    <row r="3" spans="1:17" ht="15">
      <c r="A3" s="1"/>
      <c r="B3" s="4"/>
      <c r="C3" s="5"/>
      <c r="D3" s="5"/>
      <c r="E3" s="5"/>
      <c r="F3" s="7"/>
      <c r="G3" s="8"/>
      <c r="H3" s="8"/>
      <c r="I3" s="8"/>
      <c r="J3" s="8"/>
      <c r="K3" s="8"/>
      <c r="L3" s="8"/>
      <c r="M3" s="8"/>
      <c r="N3" s="215" t="s">
        <v>22</v>
      </c>
      <c r="O3" s="215"/>
      <c r="P3" s="8"/>
      <c r="Q3" s="8"/>
    </row>
    <row r="4" spans="1:17" ht="15">
      <c r="A4" s="1"/>
      <c r="B4" s="9"/>
      <c r="C4" s="5"/>
      <c r="D4" s="5"/>
      <c r="E4" s="10"/>
      <c r="F4" s="6"/>
      <c r="G4" s="6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">
      <c r="A5" s="1"/>
      <c r="B5" s="11"/>
      <c r="C5" s="5"/>
      <c r="D5" s="5"/>
      <c r="E5" s="10"/>
      <c r="F5" s="219"/>
      <c r="G5" s="219"/>
      <c r="H5" s="219"/>
      <c r="I5" s="219"/>
      <c r="J5" s="219"/>
      <c r="K5" s="12"/>
      <c r="L5" s="1"/>
      <c r="M5" s="1"/>
      <c r="N5" s="1"/>
      <c r="O5" s="1"/>
      <c r="P5" s="1"/>
      <c r="Q5" s="1"/>
    </row>
    <row r="6" spans="1:17">
      <c r="A6" s="1"/>
      <c r="B6" s="11"/>
      <c r="C6" s="5"/>
      <c r="D6" s="5"/>
      <c r="E6" s="10"/>
      <c r="F6" s="13"/>
      <c r="G6" s="13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>
      <c r="A7" s="1"/>
      <c r="B7" s="11"/>
      <c r="C7" s="5"/>
      <c r="D7" s="5"/>
      <c r="E7" s="10"/>
      <c r="F7" s="13"/>
      <c r="G7" s="13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67.5">
      <c r="A8" s="46" t="s">
        <v>4</v>
      </c>
      <c r="B8" s="14" t="s">
        <v>5</v>
      </c>
      <c r="C8" s="14" t="s">
        <v>6</v>
      </c>
      <c r="D8" s="15" t="s">
        <v>0</v>
      </c>
      <c r="E8" s="14" t="s">
        <v>1</v>
      </c>
      <c r="F8" s="15" t="s">
        <v>2</v>
      </c>
      <c r="G8" s="14" t="s">
        <v>7</v>
      </c>
      <c r="H8" s="15" t="s">
        <v>10</v>
      </c>
      <c r="I8" s="14" t="s">
        <v>8</v>
      </c>
      <c r="J8" s="16" t="s">
        <v>9</v>
      </c>
      <c r="K8" s="14" t="s">
        <v>18</v>
      </c>
      <c r="L8" s="14" t="s">
        <v>3</v>
      </c>
      <c r="M8" s="14" t="s">
        <v>11</v>
      </c>
      <c r="N8" s="14" t="s">
        <v>13</v>
      </c>
      <c r="O8" s="14" t="s">
        <v>14</v>
      </c>
      <c r="P8" s="14" t="s">
        <v>12</v>
      </c>
      <c r="Q8" s="14" t="s">
        <v>16</v>
      </c>
    </row>
    <row r="9" spans="1:17">
      <c r="A9" s="14">
        <v>1</v>
      </c>
      <c r="B9" s="15">
        <v>2</v>
      </c>
      <c r="C9" s="14">
        <v>3</v>
      </c>
      <c r="D9" s="15">
        <v>4</v>
      </c>
      <c r="E9" s="14">
        <v>5</v>
      </c>
      <c r="F9" s="15">
        <v>6</v>
      </c>
      <c r="G9" s="14">
        <v>7</v>
      </c>
      <c r="H9" s="15">
        <v>8</v>
      </c>
      <c r="I9" s="14">
        <v>9</v>
      </c>
      <c r="J9" s="15">
        <v>10</v>
      </c>
      <c r="K9" s="15">
        <v>11</v>
      </c>
      <c r="L9" s="14">
        <v>12</v>
      </c>
      <c r="M9" s="15">
        <v>13</v>
      </c>
      <c r="N9" s="14">
        <v>14</v>
      </c>
      <c r="O9" s="15">
        <v>15</v>
      </c>
      <c r="P9" s="14">
        <v>16</v>
      </c>
      <c r="Q9" s="16">
        <v>17</v>
      </c>
    </row>
    <row r="10" spans="1:17" ht="14.25">
      <c r="A10" s="209" t="s">
        <v>19</v>
      </c>
      <c r="B10" s="222"/>
      <c r="C10" s="222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41"/>
      <c r="O10" s="41"/>
      <c r="P10" s="41"/>
      <c r="Q10" s="42"/>
    </row>
    <row r="11" spans="1:17" ht="15">
      <c r="A11" s="28"/>
      <c r="B11" s="29"/>
      <c r="C11" s="30"/>
      <c r="D11" s="31"/>
      <c r="E11" s="32"/>
      <c r="F11" s="33"/>
      <c r="G11" s="34"/>
      <c r="H11" s="35"/>
      <c r="I11" s="36"/>
      <c r="J11" s="37"/>
      <c r="K11" s="36"/>
      <c r="L11" s="36"/>
      <c r="M11" s="36"/>
      <c r="N11" s="36"/>
      <c r="O11" s="36"/>
      <c r="P11" s="36"/>
      <c r="Q11" s="36"/>
    </row>
    <row r="12" spans="1:17" ht="15">
      <c r="A12" s="44" t="s">
        <v>15</v>
      </c>
      <c r="B12" s="45"/>
      <c r="C12" s="30"/>
      <c r="D12" s="31"/>
      <c r="E12" s="32"/>
      <c r="F12" s="33"/>
      <c r="G12" s="34"/>
      <c r="H12" s="35"/>
      <c r="I12" s="36"/>
      <c r="J12" s="37"/>
      <c r="K12" s="36"/>
      <c r="L12" s="36"/>
      <c r="M12" s="36"/>
      <c r="N12" s="36"/>
      <c r="O12" s="36"/>
      <c r="P12" s="36"/>
      <c r="Q12" s="36"/>
    </row>
    <row r="13" spans="1:17" ht="14.25">
      <c r="A13" s="220" t="s">
        <v>20</v>
      </c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38"/>
      <c r="O13" s="38"/>
      <c r="P13" s="38"/>
      <c r="Q13" s="39"/>
    </row>
    <row r="14" spans="1:17" ht="15.75" thickBot="1">
      <c r="A14" s="28"/>
      <c r="B14" s="29"/>
      <c r="C14" s="30"/>
      <c r="D14" s="31"/>
      <c r="E14" s="47"/>
      <c r="F14" s="48"/>
      <c r="G14" s="64"/>
      <c r="H14" s="36"/>
      <c r="I14" s="36"/>
      <c r="J14" s="36"/>
      <c r="K14" s="36"/>
      <c r="L14" s="52"/>
      <c r="M14" s="50"/>
      <c r="N14" s="50"/>
      <c r="O14" s="50"/>
      <c r="P14" s="47"/>
      <c r="Q14" s="50"/>
    </row>
    <row r="15" spans="1:17" ht="15.75" thickBot="1">
      <c r="A15" s="28"/>
      <c r="B15" s="29"/>
      <c r="C15" s="30"/>
      <c r="D15" s="31"/>
      <c r="E15" s="47"/>
      <c r="F15" s="63"/>
      <c r="G15" s="66"/>
      <c r="H15" s="53"/>
      <c r="I15" s="54"/>
      <c r="J15" s="55"/>
      <c r="K15" s="36"/>
      <c r="L15" s="52"/>
      <c r="M15" s="50"/>
      <c r="N15" s="50"/>
      <c r="O15" s="50"/>
      <c r="P15" s="50"/>
      <c r="Q15" s="50"/>
    </row>
    <row r="16" spans="1:17" ht="105">
      <c r="A16" s="28">
        <v>3</v>
      </c>
      <c r="B16" s="29" t="s">
        <v>24</v>
      </c>
      <c r="C16" s="30" t="s">
        <v>67</v>
      </c>
      <c r="D16" s="31" t="s">
        <v>32</v>
      </c>
      <c r="E16" s="47">
        <v>386000</v>
      </c>
      <c r="F16" s="48">
        <v>42448</v>
      </c>
      <c r="G16" s="65" t="s">
        <v>43</v>
      </c>
      <c r="H16" s="36">
        <v>275000</v>
      </c>
      <c r="I16" s="36"/>
      <c r="J16" s="36">
        <f>22000+17000</f>
        <v>39000</v>
      </c>
      <c r="K16" s="36">
        <f>H16-J16+I16</f>
        <v>236000</v>
      </c>
      <c r="L16" s="69">
        <f>8.25*1/3</f>
        <v>2.75</v>
      </c>
      <c r="M16" s="50">
        <v>12884.39</v>
      </c>
      <c r="N16" s="50">
        <f>845.91+580.14+84.7+105.72+642.29+93.78+123.62+621.58+90.75+130.95+642.29+93.78+138.14+595.28+93.78+145.59</f>
        <v>5028.3</v>
      </c>
      <c r="O16" s="50"/>
      <c r="P16" s="50">
        <f>N16-O16+M16</f>
        <v>17912.689999999999</v>
      </c>
      <c r="Q16" s="50">
        <f>K16+P16</f>
        <v>253912.69</v>
      </c>
    </row>
    <row r="17" spans="1:17" ht="105">
      <c r="A17" s="61" t="s">
        <v>52</v>
      </c>
      <c r="B17" s="29" t="s">
        <v>24</v>
      </c>
      <c r="C17" s="30" t="s">
        <v>63</v>
      </c>
      <c r="D17" s="31" t="s">
        <v>32</v>
      </c>
      <c r="E17" s="47">
        <v>800000</v>
      </c>
      <c r="F17" s="48">
        <v>42819</v>
      </c>
      <c r="G17" s="65" t="s">
        <v>43</v>
      </c>
      <c r="H17" s="36">
        <v>614000</v>
      </c>
      <c r="I17" s="36"/>
      <c r="J17" s="36"/>
      <c r="K17" s="36">
        <f>H17-J17+I17</f>
        <v>614000</v>
      </c>
      <c r="L17" s="69">
        <f>8.25*1/3</f>
        <v>2.75</v>
      </c>
      <c r="M17" s="50">
        <v>1450.64</v>
      </c>
      <c r="N17" s="50">
        <f>1633.99+1265.45+23.75+1382.68+37.29+187.55+1338.08+49.35+181.5+1382.68+64.37+187.55+1382.68+78.3+187.55</f>
        <v>9382.7699999999986</v>
      </c>
      <c r="O17" s="50"/>
      <c r="P17" s="50">
        <f>N17-O17+M17</f>
        <v>10833.409999999998</v>
      </c>
      <c r="Q17" s="50">
        <f>K17+P17</f>
        <v>624833.41</v>
      </c>
    </row>
    <row r="18" spans="1:17" ht="15">
      <c r="A18" s="44" t="s">
        <v>15</v>
      </c>
      <c r="B18" s="45"/>
      <c r="C18" s="30"/>
      <c r="D18" s="31"/>
      <c r="E18" s="47">
        <f>E16+E17</f>
        <v>1186000</v>
      </c>
      <c r="F18" s="47"/>
      <c r="G18" s="47"/>
      <c r="H18" s="47">
        <f t="shared" ref="H18:Q18" si="0">H16+H17</f>
        <v>889000</v>
      </c>
      <c r="I18" s="47">
        <f t="shared" si="0"/>
        <v>0</v>
      </c>
      <c r="J18" s="47">
        <f t="shared" si="0"/>
        <v>39000</v>
      </c>
      <c r="K18" s="47">
        <f t="shared" si="0"/>
        <v>850000</v>
      </c>
      <c r="L18" s="47"/>
      <c r="M18" s="47">
        <f t="shared" si="0"/>
        <v>14335.029999999999</v>
      </c>
      <c r="N18" s="47">
        <f t="shared" si="0"/>
        <v>14411.07</v>
      </c>
      <c r="O18" s="47">
        <f t="shared" si="0"/>
        <v>0</v>
      </c>
      <c r="P18" s="47">
        <f t="shared" si="0"/>
        <v>28746.1</v>
      </c>
      <c r="Q18" s="47">
        <f t="shared" si="0"/>
        <v>878746.10000000009</v>
      </c>
    </row>
    <row r="19" spans="1:17" ht="15">
      <c r="A19" s="209" t="s">
        <v>21</v>
      </c>
      <c r="B19" s="216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3"/>
      <c r="O19" s="3"/>
      <c r="P19" s="3"/>
      <c r="Q19" s="40"/>
    </row>
    <row r="20" spans="1:17" ht="5.25" customHeight="1">
      <c r="A20" s="59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3"/>
      <c r="O20" s="3"/>
      <c r="P20" s="3"/>
      <c r="Q20" s="40"/>
    </row>
    <row r="21" spans="1:17" ht="15" hidden="1">
      <c r="A21" s="67"/>
      <c r="B21" s="29"/>
      <c r="C21" s="30"/>
      <c r="D21" s="31"/>
      <c r="E21" s="32"/>
      <c r="F21" s="48"/>
      <c r="G21" s="34"/>
      <c r="H21" s="35"/>
      <c r="I21" s="36"/>
      <c r="J21" s="69"/>
      <c r="K21" s="50"/>
      <c r="L21" s="36"/>
      <c r="M21" s="36"/>
      <c r="N21" s="50"/>
      <c r="O21" s="50"/>
      <c r="P21" s="47"/>
      <c r="Q21" s="50"/>
    </row>
    <row r="22" spans="1:17" ht="15" hidden="1">
      <c r="A22" s="70"/>
      <c r="B22" s="29"/>
      <c r="C22" s="30"/>
      <c r="D22" s="31"/>
      <c r="E22" s="32"/>
      <c r="F22" s="48"/>
      <c r="G22" s="34"/>
      <c r="H22" s="35"/>
      <c r="I22" s="36"/>
      <c r="J22" s="69"/>
      <c r="K22" s="36"/>
      <c r="L22" s="36"/>
      <c r="M22" s="36"/>
      <c r="N22" s="50"/>
      <c r="O22" s="50"/>
      <c r="P22" s="47"/>
      <c r="Q22" s="50"/>
    </row>
    <row r="23" spans="1:17" ht="15" hidden="1">
      <c r="A23" s="28"/>
      <c r="B23" s="29"/>
      <c r="C23" s="30"/>
      <c r="D23" s="31"/>
      <c r="E23" s="32"/>
      <c r="F23" s="48"/>
      <c r="G23" s="34"/>
      <c r="H23" s="35"/>
      <c r="I23" s="36"/>
      <c r="J23" s="69"/>
      <c r="K23" s="36"/>
      <c r="L23" s="50"/>
      <c r="M23" s="36"/>
      <c r="N23" s="50"/>
      <c r="O23" s="50"/>
      <c r="P23" s="47"/>
      <c r="Q23" s="50"/>
    </row>
    <row r="24" spans="1:17" ht="15">
      <c r="A24" s="68" t="s">
        <v>15</v>
      </c>
      <c r="B24" s="45"/>
      <c r="C24" s="30"/>
      <c r="D24" s="31"/>
      <c r="E24" s="32">
        <f>E21+E22+E23</f>
        <v>0</v>
      </c>
      <c r="F24" s="33"/>
      <c r="G24" s="34"/>
      <c r="H24" s="36">
        <f>H21+H22+H23</f>
        <v>0</v>
      </c>
      <c r="I24" s="36">
        <f t="shared" ref="I24:N24" si="1">I21+I22+I23</f>
        <v>0</v>
      </c>
      <c r="J24" s="36">
        <f t="shared" si="1"/>
        <v>0</v>
      </c>
      <c r="K24" s="36">
        <f t="shared" si="1"/>
        <v>0</v>
      </c>
      <c r="L24" s="36"/>
      <c r="M24" s="36">
        <f t="shared" si="1"/>
        <v>0</v>
      </c>
      <c r="N24" s="50">
        <f t="shared" si="1"/>
        <v>0</v>
      </c>
      <c r="O24" s="50">
        <f>O21+O22+O23</f>
        <v>0</v>
      </c>
      <c r="P24" s="36">
        <f>P21+P22+P23</f>
        <v>0</v>
      </c>
      <c r="Q24" s="36">
        <f>Q21+Q22+Q23</f>
        <v>0</v>
      </c>
    </row>
    <row r="25" spans="1:17" ht="15">
      <c r="A25" s="209"/>
      <c r="B25" s="210"/>
      <c r="C25" s="210"/>
      <c r="D25" s="210"/>
      <c r="E25" s="210"/>
      <c r="F25" s="210"/>
      <c r="G25" s="210"/>
      <c r="H25" s="210"/>
      <c r="I25" s="210"/>
      <c r="J25" s="210"/>
      <c r="K25" s="210"/>
      <c r="L25" s="210"/>
      <c r="M25" s="210"/>
      <c r="N25" s="3"/>
      <c r="O25" s="3"/>
      <c r="P25" s="3"/>
      <c r="Q25" s="40"/>
    </row>
    <row r="26" spans="1:17" ht="0.75" customHeight="1">
      <c r="A26" s="28"/>
      <c r="B26" s="29"/>
      <c r="C26" s="30"/>
      <c r="D26" s="31"/>
      <c r="E26" s="32"/>
      <c r="F26" s="33"/>
      <c r="G26" s="34"/>
      <c r="H26" s="35"/>
      <c r="I26" s="36"/>
      <c r="J26" s="37"/>
      <c r="K26" s="36"/>
      <c r="L26" s="36"/>
      <c r="M26" s="36"/>
      <c r="N26" s="36"/>
      <c r="O26" s="36"/>
      <c r="P26" s="36"/>
      <c r="Q26" s="36"/>
    </row>
    <row r="27" spans="1:17" ht="15">
      <c r="A27" s="44" t="s">
        <v>15</v>
      </c>
      <c r="B27" s="45"/>
      <c r="C27" s="30">
        <v>0</v>
      </c>
      <c r="D27" s="31"/>
      <c r="E27" s="32"/>
      <c r="F27" s="33"/>
      <c r="G27" s="34"/>
      <c r="H27" s="35"/>
      <c r="I27" s="36"/>
      <c r="J27" s="37"/>
      <c r="K27" s="36"/>
      <c r="L27" s="36"/>
      <c r="M27" s="36"/>
      <c r="N27" s="36"/>
      <c r="O27" s="36"/>
      <c r="P27" s="36"/>
      <c r="Q27" s="36"/>
    </row>
    <row r="28" spans="1:17" ht="18.75">
      <c r="A28" s="211" t="s">
        <v>17</v>
      </c>
      <c r="B28" s="212"/>
      <c r="C28" s="213"/>
      <c r="D28" s="213"/>
      <c r="E28" s="213"/>
      <c r="F28" s="214"/>
      <c r="G28" s="23"/>
      <c r="H28" s="57">
        <f>H18+H24</f>
        <v>889000</v>
      </c>
      <c r="I28" s="57">
        <f>I18+I24</f>
        <v>0</v>
      </c>
      <c r="J28" s="56">
        <f>J18+J24</f>
        <v>39000</v>
      </c>
      <c r="K28" s="56">
        <f>K18+K24</f>
        <v>850000</v>
      </c>
      <c r="L28" s="58"/>
      <c r="M28" s="57">
        <v>371.58</v>
      </c>
      <c r="N28" s="56">
        <f>N18+N24</f>
        <v>14411.07</v>
      </c>
      <c r="O28" s="56">
        <f>O18+O24</f>
        <v>0</v>
      </c>
      <c r="P28" s="56">
        <f>P18+P24</f>
        <v>28746.1</v>
      </c>
      <c r="Q28" s="56">
        <f>Q18+Q24</f>
        <v>878746.10000000009</v>
      </c>
    </row>
    <row r="29" spans="1:17" ht="18.75">
      <c r="A29" s="18"/>
      <c r="B29" s="25"/>
      <c r="C29" s="19"/>
      <c r="D29" s="19"/>
      <c r="E29" s="20"/>
      <c r="F29" s="22"/>
      <c r="G29" s="22"/>
      <c r="H29" s="26"/>
      <c r="I29" s="27"/>
      <c r="J29" s="27"/>
      <c r="K29" s="26"/>
      <c r="L29" s="26"/>
      <c r="M29" s="26"/>
      <c r="N29" s="26"/>
      <c r="O29" s="26"/>
      <c r="P29" s="26"/>
      <c r="Q29" s="26"/>
    </row>
    <row r="30" spans="1:17">
      <c r="A30" s="1"/>
      <c r="B30" s="11"/>
      <c r="C30" s="5"/>
      <c r="D30" s="5"/>
      <c r="E30" s="10"/>
      <c r="F30" s="13"/>
      <c r="G30" s="13"/>
      <c r="H30" s="1"/>
      <c r="I30" s="1"/>
      <c r="J30" s="1"/>
      <c r="K30" s="1"/>
      <c r="L30" s="1"/>
      <c r="M30" s="1"/>
      <c r="N30" s="71"/>
      <c r="O30" s="1"/>
      <c r="P30" s="1"/>
      <c r="Q30" s="1"/>
    </row>
    <row r="31" spans="1:17" ht="15.75">
      <c r="A31" s="1"/>
      <c r="B31" s="201" t="s">
        <v>54</v>
      </c>
      <c r="C31" s="202"/>
      <c r="D31" s="202"/>
      <c r="E31" s="203"/>
      <c r="F31" s="204"/>
      <c r="G31" s="204"/>
      <c r="H31" s="205"/>
      <c r="I31" s="206"/>
      <c r="J31" s="206"/>
      <c r="K31" s="206"/>
      <c r="L31" s="1"/>
      <c r="M31" s="1"/>
      <c r="N31" s="1"/>
      <c r="O31" s="1"/>
      <c r="P31" s="1"/>
      <c r="Q31" s="1"/>
    </row>
    <row r="32" spans="1:17">
      <c r="A32" s="1"/>
      <c r="B32" s="11"/>
      <c r="C32" s="5"/>
      <c r="D32" s="5"/>
      <c r="E32" s="10"/>
      <c r="F32" s="13"/>
      <c r="G32" s="13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1"/>
      <c r="B33" s="11"/>
      <c r="C33" s="5"/>
      <c r="D33" s="5"/>
      <c r="E33" s="10"/>
      <c r="F33" s="13"/>
      <c r="G33" s="13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5.75">
      <c r="A34" s="1"/>
      <c r="B34" s="201" t="s">
        <v>72</v>
      </c>
      <c r="C34" s="207"/>
      <c r="D34" s="207"/>
      <c r="E34" s="207"/>
      <c r="F34" s="207"/>
      <c r="G34" s="207"/>
      <c r="H34" s="207"/>
      <c r="I34" s="207"/>
      <c r="J34" s="207"/>
      <c r="K34" s="207"/>
      <c r="L34" s="1"/>
      <c r="M34" s="1"/>
      <c r="N34" s="1"/>
      <c r="O34" s="1"/>
      <c r="P34" s="1"/>
      <c r="Q34" s="1"/>
    </row>
    <row r="35" spans="1:17">
      <c r="A35" s="1"/>
      <c r="B35" s="11"/>
      <c r="C35" s="5"/>
      <c r="D35" s="5"/>
      <c r="E35" s="10"/>
      <c r="F35" s="13"/>
      <c r="G35" s="13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38.25">
      <c r="A36" s="1"/>
      <c r="B36" s="11"/>
      <c r="C36" s="5" t="s">
        <v>27</v>
      </c>
      <c r="D36" s="5"/>
      <c r="E36" s="10"/>
      <c r="F36" s="13"/>
      <c r="G36" s="13"/>
      <c r="H36" s="1"/>
      <c r="I36" s="1"/>
      <c r="J36" s="1"/>
      <c r="K36" s="1"/>
      <c r="L36" s="1"/>
      <c r="M36" s="1"/>
      <c r="N36" s="1"/>
      <c r="O36" s="1"/>
      <c r="P36" s="1"/>
      <c r="Q36" s="1"/>
    </row>
  </sheetData>
  <mergeCells count="11">
    <mergeCell ref="B31:K31"/>
    <mergeCell ref="B34:K34"/>
    <mergeCell ref="A10:M10"/>
    <mergeCell ref="A13:M13"/>
    <mergeCell ref="A19:M19"/>
    <mergeCell ref="A25:M25"/>
    <mergeCell ref="A1:Q1"/>
    <mergeCell ref="D2:K2"/>
    <mergeCell ref="N3:O3"/>
    <mergeCell ref="F5:J5"/>
    <mergeCell ref="A28:F28"/>
  </mergeCells>
  <phoneticPr fontId="8" type="noConversion"/>
  <pageMargins left="0.75" right="0.75" top="1" bottom="1" header="0.5" footer="0.5"/>
  <pageSetup paperSize="9" scale="4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37"/>
  <sheetViews>
    <sheetView view="pageBreakPreview" topLeftCell="B1" workbookViewId="0">
      <selection activeCell="N16" sqref="N16"/>
    </sheetView>
  </sheetViews>
  <sheetFormatPr defaultRowHeight="12.75"/>
  <cols>
    <col min="3" max="3" width="10.28515625" customWidth="1"/>
    <col min="5" max="5" width="11.5703125" bestFit="1" customWidth="1"/>
    <col min="6" max="6" width="11.7109375" customWidth="1"/>
    <col min="7" max="7" width="9.28515625" bestFit="1" customWidth="1"/>
    <col min="8" max="9" width="12.28515625" customWidth="1"/>
    <col min="10" max="10" width="12" customWidth="1"/>
    <col min="11" max="11" width="11.28515625" customWidth="1"/>
    <col min="12" max="13" width="9.28515625" bestFit="1" customWidth="1"/>
    <col min="14" max="15" width="9.5703125" bestFit="1" customWidth="1"/>
    <col min="16" max="16" width="9.28515625" bestFit="1" customWidth="1"/>
    <col min="17" max="17" width="11.7109375" customWidth="1"/>
  </cols>
  <sheetData>
    <row r="1" spans="1:17" ht="18">
      <c r="A1" s="223" t="s">
        <v>36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5"/>
      <c r="P1" s="225"/>
      <c r="Q1" s="225"/>
    </row>
    <row r="2" spans="1:17" ht="15">
      <c r="A2" s="1"/>
      <c r="B2" s="2"/>
      <c r="C2" s="2"/>
      <c r="D2" s="217" t="s">
        <v>81</v>
      </c>
      <c r="E2" s="218"/>
      <c r="F2" s="218"/>
      <c r="G2" s="218"/>
      <c r="H2" s="218"/>
      <c r="I2" s="218"/>
      <c r="J2" s="218"/>
      <c r="K2" s="218"/>
      <c r="L2" s="3"/>
      <c r="M2" s="3"/>
      <c r="N2" s="3"/>
      <c r="O2" s="3"/>
      <c r="P2" s="3"/>
      <c r="Q2" s="3"/>
    </row>
    <row r="3" spans="1:17" ht="15">
      <c r="A3" s="1"/>
      <c r="B3" s="4"/>
      <c r="C3" s="5"/>
      <c r="D3" s="5"/>
      <c r="E3" s="5"/>
      <c r="F3" s="7"/>
      <c r="G3" s="8"/>
      <c r="H3" s="8"/>
      <c r="I3" s="8"/>
      <c r="J3" s="8"/>
      <c r="K3" s="8"/>
      <c r="L3" s="8"/>
      <c r="M3" s="8"/>
      <c r="N3" s="215" t="s">
        <v>22</v>
      </c>
      <c r="O3" s="215"/>
      <c r="P3" s="8"/>
      <c r="Q3" s="8"/>
    </row>
    <row r="4" spans="1:17" ht="15">
      <c r="A4" s="1"/>
      <c r="B4" s="9"/>
      <c r="C4" s="5"/>
      <c r="D4" s="5"/>
      <c r="E4" s="10"/>
      <c r="F4" s="6"/>
      <c r="G4" s="6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">
      <c r="A5" s="1"/>
      <c r="B5" s="11"/>
      <c r="C5" s="5"/>
      <c r="D5" s="5"/>
      <c r="E5" s="10"/>
      <c r="F5" s="219"/>
      <c r="G5" s="219"/>
      <c r="H5" s="219"/>
      <c r="I5" s="219"/>
      <c r="J5" s="219"/>
      <c r="K5" s="12"/>
      <c r="L5" s="1"/>
      <c r="M5" s="1"/>
      <c r="N5" s="1"/>
      <c r="O5" s="1"/>
      <c r="P5" s="1"/>
      <c r="Q5" s="1"/>
    </row>
    <row r="6" spans="1:17">
      <c r="A6" s="1"/>
      <c r="B6" s="11"/>
      <c r="C6" s="5"/>
      <c r="D6" s="5"/>
      <c r="E6" s="10"/>
      <c r="F6" s="13"/>
      <c r="G6" s="13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>
      <c r="A7" s="1"/>
      <c r="B7" s="11"/>
      <c r="C7" s="5"/>
      <c r="D7" s="5"/>
      <c r="E7" s="10"/>
      <c r="F7" s="13"/>
      <c r="G7" s="13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90">
      <c r="A8" s="46" t="s">
        <v>4</v>
      </c>
      <c r="B8" s="14" t="s">
        <v>5</v>
      </c>
      <c r="C8" s="14" t="s">
        <v>6</v>
      </c>
      <c r="D8" s="15" t="s">
        <v>0</v>
      </c>
      <c r="E8" s="14" t="s">
        <v>1</v>
      </c>
      <c r="F8" s="15" t="s">
        <v>2</v>
      </c>
      <c r="G8" s="14" t="s">
        <v>7</v>
      </c>
      <c r="H8" s="15" t="s">
        <v>10</v>
      </c>
      <c r="I8" s="14" t="s">
        <v>8</v>
      </c>
      <c r="J8" s="16" t="s">
        <v>9</v>
      </c>
      <c r="K8" s="14" t="s">
        <v>18</v>
      </c>
      <c r="L8" s="14" t="s">
        <v>3</v>
      </c>
      <c r="M8" s="14" t="s">
        <v>11</v>
      </c>
      <c r="N8" s="14" t="s">
        <v>13</v>
      </c>
      <c r="O8" s="14" t="s">
        <v>14</v>
      </c>
      <c r="P8" s="14" t="s">
        <v>12</v>
      </c>
      <c r="Q8" s="14" t="s">
        <v>16</v>
      </c>
    </row>
    <row r="9" spans="1:17">
      <c r="A9" s="14">
        <v>1</v>
      </c>
      <c r="B9" s="15">
        <v>2</v>
      </c>
      <c r="C9" s="14">
        <v>3</v>
      </c>
      <c r="D9" s="15">
        <v>4</v>
      </c>
      <c r="E9" s="14">
        <v>5</v>
      </c>
      <c r="F9" s="15">
        <v>6</v>
      </c>
      <c r="G9" s="14">
        <v>7</v>
      </c>
      <c r="H9" s="15">
        <v>8</v>
      </c>
      <c r="I9" s="14">
        <v>9</v>
      </c>
      <c r="J9" s="15">
        <v>10</v>
      </c>
      <c r="K9" s="15">
        <v>11</v>
      </c>
      <c r="L9" s="14">
        <v>12</v>
      </c>
      <c r="M9" s="15">
        <v>13</v>
      </c>
      <c r="N9" s="14">
        <v>14</v>
      </c>
      <c r="O9" s="15">
        <v>15</v>
      </c>
      <c r="P9" s="14">
        <v>16</v>
      </c>
      <c r="Q9" s="16">
        <v>17</v>
      </c>
    </row>
    <row r="10" spans="1:17" ht="14.25">
      <c r="A10" s="209" t="s">
        <v>19</v>
      </c>
      <c r="B10" s="222"/>
      <c r="C10" s="222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41"/>
      <c r="O10" s="41"/>
      <c r="P10" s="41"/>
      <c r="Q10" s="42"/>
    </row>
    <row r="11" spans="1:17" ht="15">
      <c r="A11" s="28"/>
      <c r="B11" s="29"/>
      <c r="C11" s="30"/>
      <c r="D11" s="31"/>
      <c r="E11" s="32"/>
      <c r="F11" s="33"/>
      <c r="G11" s="34"/>
      <c r="H11" s="35"/>
      <c r="I11" s="36"/>
      <c r="J11" s="37"/>
      <c r="K11" s="36"/>
      <c r="L11" s="36"/>
      <c r="M11" s="36"/>
      <c r="N11" s="36"/>
      <c r="O11" s="36"/>
      <c r="P11" s="36"/>
      <c r="Q11" s="36"/>
    </row>
    <row r="12" spans="1:17" ht="15">
      <c r="A12" s="44" t="s">
        <v>15</v>
      </c>
      <c r="B12" s="45"/>
      <c r="C12" s="30"/>
      <c r="D12" s="31"/>
      <c r="E12" s="32"/>
      <c r="F12" s="33"/>
      <c r="G12" s="34"/>
      <c r="H12" s="35"/>
      <c r="I12" s="36"/>
      <c r="J12" s="37"/>
      <c r="K12" s="36"/>
      <c r="L12" s="36"/>
      <c r="M12" s="36"/>
      <c r="N12" s="36"/>
      <c r="O12" s="36"/>
      <c r="P12" s="36"/>
      <c r="Q12" s="36"/>
    </row>
    <row r="13" spans="1:17" ht="14.25">
      <c r="A13" s="220" t="s">
        <v>20</v>
      </c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38"/>
      <c r="O13" s="38"/>
      <c r="P13" s="38"/>
      <c r="Q13" s="39"/>
    </row>
    <row r="14" spans="1:17" ht="15">
      <c r="A14" s="28"/>
      <c r="B14" s="29"/>
      <c r="C14" s="30"/>
      <c r="D14" s="31"/>
      <c r="E14" s="47"/>
      <c r="F14" s="48"/>
      <c r="G14" s="64"/>
      <c r="H14" s="36"/>
      <c r="I14" s="36"/>
      <c r="J14" s="36"/>
      <c r="K14" s="36"/>
      <c r="L14" s="52"/>
      <c r="M14" s="50"/>
      <c r="N14" s="50"/>
      <c r="O14" s="50"/>
      <c r="P14" s="47"/>
      <c r="Q14" s="50"/>
    </row>
    <row r="15" spans="1:17" ht="15">
      <c r="A15" s="28"/>
      <c r="B15" s="29"/>
      <c r="C15" s="30"/>
      <c r="D15" s="31"/>
      <c r="E15" s="47"/>
      <c r="F15" s="63"/>
      <c r="G15" s="65"/>
      <c r="H15" s="53"/>
      <c r="I15" s="54"/>
      <c r="J15" s="55"/>
      <c r="K15" s="36"/>
      <c r="L15" s="52"/>
      <c r="M15" s="50"/>
      <c r="N15" s="50"/>
      <c r="O15" s="50"/>
      <c r="P15" s="50"/>
      <c r="Q15" s="50"/>
    </row>
    <row r="16" spans="1:17" ht="105">
      <c r="A16" s="28">
        <v>2</v>
      </c>
      <c r="B16" s="29" t="s">
        <v>24</v>
      </c>
      <c r="C16" s="30" t="s">
        <v>64</v>
      </c>
      <c r="D16" s="31" t="s">
        <v>32</v>
      </c>
      <c r="E16" s="47">
        <v>500000</v>
      </c>
      <c r="F16" s="48">
        <v>42819</v>
      </c>
      <c r="G16" s="65" t="s">
        <v>43</v>
      </c>
      <c r="H16" s="36">
        <v>332000</v>
      </c>
      <c r="I16" s="36"/>
      <c r="J16" s="36">
        <f>14000+14000+14000</f>
        <v>42000</v>
      </c>
      <c r="K16" s="36">
        <f>H16-J16+I16</f>
        <v>290000</v>
      </c>
      <c r="L16" s="69">
        <v>2.75</v>
      </c>
      <c r="M16" s="50">
        <v>780.7</v>
      </c>
      <c r="N16" s="50">
        <f>763.82+651.86+710.03+119.35+687.12+115.5+0.98+710.03+119.35+1.02+693.15+4.07</f>
        <v>4576.2799999999988</v>
      </c>
      <c r="O16" s="50">
        <f>780.7+763.82+651.86+829.38-119.35+922.95-235.83+710.03</f>
        <v>4303.5600000000004</v>
      </c>
      <c r="P16" s="50">
        <f>M16+N16-O16</f>
        <v>1053.4199999999983</v>
      </c>
      <c r="Q16" s="50">
        <f>K16+P16</f>
        <v>291053.42</v>
      </c>
    </row>
    <row r="17" spans="1:17" ht="15">
      <c r="A17" s="28"/>
      <c r="B17" s="62"/>
      <c r="C17" s="30"/>
      <c r="D17" s="31"/>
      <c r="E17" s="47"/>
      <c r="F17" s="48"/>
      <c r="G17" s="51"/>
      <c r="H17" s="36"/>
      <c r="I17" s="36"/>
      <c r="J17" s="36"/>
      <c r="K17" s="36"/>
      <c r="L17" s="52"/>
      <c r="M17" s="50"/>
      <c r="N17" s="50"/>
      <c r="O17" s="50"/>
      <c r="P17" s="50"/>
      <c r="Q17" s="50"/>
    </row>
    <row r="18" spans="1:17" ht="15">
      <c r="A18" s="61"/>
      <c r="B18" s="62"/>
      <c r="C18" s="30"/>
      <c r="D18" s="31"/>
      <c r="E18" s="47"/>
      <c r="F18" s="48"/>
      <c r="G18" s="51"/>
      <c r="H18" s="36"/>
      <c r="I18" s="36"/>
      <c r="J18" s="36"/>
      <c r="K18" s="36">
        <f>I18-J18</f>
        <v>0</v>
      </c>
      <c r="L18" s="52"/>
      <c r="M18" s="50"/>
      <c r="N18" s="50"/>
      <c r="O18" s="50"/>
      <c r="P18" s="50"/>
      <c r="Q18" s="36"/>
    </row>
    <row r="19" spans="1:17" ht="15">
      <c r="A19" s="44" t="s">
        <v>15</v>
      </c>
      <c r="B19" s="45"/>
      <c r="C19" s="30"/>
      <c r="D19" s="31"/>
      <c r="E19" s="47">
        <f>E16+E17+E18</f>
        <v>500000</v>
      </c>
      <c r="F19" s="47"/>
      <c r="G19" s="47"/>
      <c r="H19" s="47">
        <f t="shared" ref="H19:Q19" si="0">H16+H17+H18</f>
        <v>332000</v>
      </c>
      <c r="I19" s="47">
        <f t="shared" si="0"/>
        <v>0</v>
      </c>
      <c r="J19" s="47">
        <f t="shared" si="0"/>
        <v>42000</v>
      </c>
      <c r="K19" s="47">
        <f t="shared" si="0"/>
        <v>290000</v>
      </c>
      <c r="L19" s="47">
        <f t="shared" si="0"/>
        <v>2.75</v>
      </c>
      <c r="M19" s="47">
        <f t="shared" si="0"/>
        <v>780.7</v>
      </c>
      <c r="N19" s="47">
        <f t="shared" si="0"/>
        <v>4576.2799999999988</v>
      </c>
      <c r="O19" s="47">
        <f t="shared" si="0"/>
        <v>4303.5600000000004</v>
      </c>
      <c r="P19" s="47">
        <f t="shared" si="0"/>
        <v>1053.4199999999983</v>
      </c>
      <c r="Q19" s="47">
        <f t="shared" si="0"/>
        <v>291053.42</v>
      </c>
    </row>
    <row r="20" spans="1:17" ht="15">
      <c r="A20" s="209" t="s">
        <v>21</v>
      </c>
      <c r="B20" s="216"/>
      <c r="C20" s="216"/>
      <c r="D20" s="216"/>
      <c r="E20" s="216"/>
      <c r="F20" s="216"/>
      <c r="G20" s="216"/>
      <c r="H20" s="216"/>
      <c r="I20" s="216"/>
      <c r="J20" s="216"/>
      <c r="K20" s="216"/>
      <c r="L20" s="216"/>
      <c r="M20" s="216"/>
      <c r="N20" s="3"/>
      <c r="O20" s="3"/>
      <c r="P20" s="3"/>
      <c r="Q20" s="40"/>
    </row>
    <row r="21" spans="1:17" ht="12.75" customHeight="1">
      <c r="A21" s="59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3"/>
      <c r="O21" s="3"/>
      <c r="P21" s="3"/>
      <c r="Q21" s="40"/>
    </row>
    <row r="22" spans="1:17" ht="15" hidden="1">
      <c r="A22" s="67"/>
      <c r="B22" s="29"/>
      <c r="C22" s="30"/>
      <c r="D22" s="31"/>
      <c r="E22" s="32"/>
      <c r="F22" s="48"/>
      <c r="G22" s="34"/>
      <c r="H22" s="35"/>
      <c r="I22" s="36"/>
      <c r="J22" s="69"/>
      <c r="K22" s="50"/>
      <c r="L22" s="36"/>
      <c r="M22" s="36"/>
      <c r="N22" s="50"/>
      <c r="O22" s="50"/>
      <c r="P22" s="47"/>
      <c r="Q22" s="50"/>
    </row>
    <row r="23" spans="1:17" ht="15" hidden="1">
      <c r="A23" s="70"/>
      <c r="B23" s="29"/>
      <c r="C23" s="30"/>
      <c r="D23" s="31"/>
      <c r="E23" s="32"/>
      <c r="F23" s="48"/>
      <c r="G23" s="34"/>
      <c r="H23" s="35"/>
      <c r="I23" s="36"/>
      <c r="J23" s="69"/>
      <c r="K23" s="36"/>
      <c r="L23" s="36"/>
      <c r="M23" s="36"/>
      <c r="N23" s="50"/>
      <c r="O23" s="50"/>
      <c r="P23" s="47"/>
      <c r="Q23" s="50"/>
    </row>
    <row r="24" spans="1:17" ht="15" hidden="1">
      <c r="A24" s="28"/>
      <c r="B24" s="29"/>
      <c r="C24" s="30"/>
      <c r="D24" s="31"/>
      <c r="E24" s="32"/>
      <c r="F24" s="48"/>
      <c r="G24" s="34"/>
      <c r="H24" s="35"/>
      <c r="I24" s="36"/>
      <c r="J24" s="69"/>
      <c r="K24" s="36"/>
      <c r="L24" s="50"/>
      <c r="M24" s="36"/>
      <c r="N24" s="50"/>
      <c r="O24" s="50"/>
      <c r="P24" s="47"/>
      <c r="Q24" s="50"/>
    </row>
    <row r="25" spans="1:17" ht="15" hidden="1">
      <c r="A25" s="68" t="s">
        <v>15</v>
      </c>
      <c r="B25" s="45"/>
      <c r="C25" s="30"/>
      <c r="D25" s="31"/>
      <c r="E25" s="32">
        <f>E22+E23+E24</f>
        <v>0</v>
      </c>
      <c r="F25" s="33"/>
      <c r="G25" s="34"/>
      <c r="H25" s="36">
        <f>H22+H23+H24</f>
        <v>0</v>
      </c>
      <c r="I25" s="36">
        <f t="shared" ref="I25:N25" si="1">I22+I23+I24</f>
        <v>0</v>
      </c>
      <c r="J25" s="36">
        <f t="shared" si="1"/>
        <v>0</v>
      </c>
      <c r="K25" s="36">
        <f t="shared" si="1"/>
        <v>0</v>
      </c>
      <c r="L25" s="36"/>
      <c r="M25" s="36">
        <f t="shared" si="1"/>
        <v>0</v>
      </c>
      <c r="N25" s="50">
        <f t="shared" si="1"/>
        <v>0</v>
      </c>
      <c r="O25" s="50">
        <f>O22+O23+O24</f>
        <v>0</v>
      </c>
      <c r="P25" s="36">
        <f>P22+P23+P24</f>
        <v>0</v>
      </c>
      <c r="Q25" s="36">
        <f>Q22+Q23+Q24</f>
        <v>0</v>
      </c>
    </row>
    <row r="26" spans="1:17" ht="8.25" customHeight="1">
      <c r="A26" s="209"/>
      <c r="B26" s="210"/>
      <c r="C26" s="210"/>
      <c r="D26" s="210"/>
      <c r="E26" s="210"/>
      <c r="F26" s="210"/>
      <c r="G26" s="210"/>
      <c r="H26" s="210"/>
      <c r="I26" s="210"/>
      <c r="J26" s="210"/>
      <c r="K26" s="210"/>
      <c r="L26" s="210"/>
      <c r="M26" s="210"/>
      <c r="N26" s="3"/>
      <c r="O26" s="3"/>
      <c r="P26" s="3"/>
      <c r="Q26" s="40"/>
    </row>
    <row r="27" spans="1:17" ht="15" hidden="1">
      <c r="A27" s="28"/>
      <c r="B27" s="29"/>
      <c r="C27" s="30"/>
      <c r="D27" s="31"/>
      <c r="E27" s="32"/>
      <c r="F27" s="33"/>
      <c r="G27" s="34"/>
      <c r="H27" s="35"/>
      <c r="I27" s="36"/>
      <c r="J27" s="37"/>
      <c r="K27" s="36"/>
      <c r="L27" s="36"/>
      <c r="M27" s="36"/>
      <c r="N27" s="36"/>
      <c r="O27" s="36"/>
      <c r="P27" s="36"/>
      <c r="Q27" s="36"/>
    </row>
    <row r="28" spans="1:17" ht="15">
      <c r="A28" s="44" t="s">
        <v>15</v>
      </c>
      <c r="B28" s="45"/>
      <c r="C28" s="30">
        <v>0</v>
      </c>
      <c r="D28" s="31"/>
      <c r="E28" s="32"/>
      <c r="F28" s="33"/>
      <c r="G28" s="34"/>
      <c r="H28" s="35"/>
      <c r="I28" s="36"/>
      <c r="J28" s="37"/>
      <c r="K28" s="36"/>
      <c r="L28" s="36"/>
      <c r="M28" s="36"/>
      <c r="N28" s="36"/>
      <c r="O28" s="36"/>
      <c r="P28" s="36"/>
      <c r="Q28" s="36"/>
    </row>
    <row r="29" spans="1:17" ht="18.75">
      <c r="A29" s="211" t="s">
        <v>17</v>
      </c>
      <c r="B29" s="212"/>
      <c r="C29" s="213"/>
      <c r="D29" s="213"/>
      <c r="E29" s="213"/>
      <c r="F29" s="214"/>
      <c r="G29" s="23"/>
      <c r="H29" s="57">
        <f>H19+H25</f>
        <v>332000</v>
      </c>
      <c r="I29" s="57">
        <f>I19+I25</f>
        <v>0</v>
      </c>
      <c r="J29" s="56">
        <f>J19+J25</f>
        <v>42000</v>
      </c>
      <c r="K29" s="56">
        <f>K19+K25</f>
        <v>290000</v>
      </c>
      <c r="L29" s="58"/>
      <c r="M29" s="57">
        <v>780.7</v>
      </c>
      <c r="N29" s="56">
        <f>N19+N25</f>
        <v>4576.2799999999988</v>
      </c>
      <c r="O29" s="56">
        <f>O19+O25</f>
        <v>4303.5600000000004</v>
      </c>
      <c r="P29" s="56">
        <f>P19+P25</f>
        <v>1053.4199999999983</v>
      </c>
      <c r="Q29" s="56">
        <f>Q19+Q25</f>
        <v>291053.42</v>
      </c>
    </row>
    <row r="30" spans="1:17" ht="18.75">
      <c r="A30" s="18"/>
      <c r="B30" s="25"/>
      <c r="C30" s="19"/>
      <c r="D30" s="19"/>
      <c r="E30" s="20"/>
      <c r="F30" s="22"/>
      <c r="G30" s="22"/>
      <c r="H30" s="26"/>
      <c r="I30" s="27"/>
      <c r="J30" s="27"/>
      <c r="K30" s="26"/>
      <c r="L30" s="26"/>
      <c r="M30" s="26"/>
      <c r="N30" s="26"/>
      <c r="O30" s="26"/>
      <c r="P30" s="26"/>
      <c r="Q30" s="26"/>
    </row>
    <row r="31" spans="1:17">
      <c r="A31" s="1"/>
      <c r="B31" s="11"/>
      <c r="C31" s="5"/>
      <c r="D31" s="5"/>
      <c r="E31" s="10"/>
      <c r="F31" s="13"/>
      <c r="G31" s="13"/>
      <c r="H31" s="1"/>
      <c r="I31" s="1"/>
      <c r="J31" s="1"/>
      <c r="K31" s="1"/>
      <c r="L31" s="1"/>
      <c r="M31" s="1"/>
      <c r="N31" s="71"/>
      <c r="O31" s="1"/>
      <c r="P31" s="1"/>
      <c r="Q31" s="1"/>
    </row>
    <row r="32" spans="1:17" ht="15.75">
      <c r="A32" s="1"/>
      <c r="B32" s="201" t="s">
        <v>56</v>
      </c>
      <c r="C32" s="202"/>
      <c r="D32" s="202"/>
      <c r="E32" s="203"/>
      <c r="F32" s="204"/>
      <c r="G32" s="204"/>
      <c r="H32" s="205"/>
      <c r="I32" s="206"/>
      <c r="J32" s="206"/>
      <c r="K32" s="206"/>
      <c r="L32" s="1"/>
      <c r="M32" s="1"/>
      <c r="N32" s="1"/>
      <c r="O32" s="1"/>
      <c r="P32" s="1"/>
      <c r="Q32" s="1"/>
    </row>
    <row r="33" spans="1:17">
      <c r="A33" s="1"/>
      <c r="B33" s="11"/>
      <c r="C33" s="5"/>
      <c r="D33" s="5"/>
      <c r="E33" s="10"/>
      <c r="F33" s="13"/>
      <c r="G33" s="13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1"/>
      <c r="B34" s="11"/>
      <c r="C34" s="5"/>
      <c r="D34" s="5"/>
      <c r="E34" s="10"/>
      <c r="F34" s="13"/>
      <c r="G34" s="13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5.75">
      <c r="A35" s="1"/>
      <c r="B35" s="201" t="s">
        <v>73</v>
      </c>
      <c r="C35" s="207"/>
      <c r="D35" s="207"/>
      <c r="E35" s="207"/>
      <c r="F35" s="207"/>
      <c r="G35" s="207"/>
      <c r="H35" s="207"/>
      <c r="I35" s="207"/>
      <c r="J35" s="207"/>
      <c r="K35" s="207"/>
      <c r="L35" s="1"/>
      <c r="M35" s="1"/>
      <c r="N35" s="1"/>
      <c r="O35" s="1"/>
      <c r="P35" s="1"/>
      <c r="Q35" s="1"/>
    </row>
    <row r="36" spans="1:17">
      <c r="A36" s="1"/>
      <c r="B36" s="11"/>
      <c r="C36" s="5"/>
      <c r="D36" s="5"/>
      <c r="E36" s="10"/>
      <c r="F36" s="13"/>
      <c r="G36" s="13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>
      <c r="A37" s="1"/>
      <c r="B37" s="11"/>
      <c r="C37" s="185" t="s">
        <v>55</v>
      </c>
      <c r="D37" s="5"/>
      <c r="E37" s="10"/>
      <c r="F37" s="13"/>
      <c r="G37" s="13"/>
      <c r="H37" s="1"/>
      <c r="I37" s="1"/>
      <c r="J37" s="1" t="s">
        <v>57</v>
      </c>
      <c r="K37" s="1"/>
      <c r="L37" s="1"/>
      <c r="M37" s="1"/>
      <c r="N37" s="1"/>
      <c r="O37" s="1"/>
      <c r="P37" s="1"/>
      <c r="Q37" s="1"/>
    </row>
  </sheetData>
  <mergeCells count="11">
    <mergeCell ref="B35:K35"/>
    <mergeCell ref="A10:M10"/>
    <mergeCell ref="A13:M13"/>
    <mergeCell ref="A20:M20"/>
    <mergeCell ref="A26:M26"/>
    <mergeCell ref="B32:K32"/>
    <mergeCell ref="A1:Q1"/>
    <mergeCell ref="D2:K2"/>
    <mergeCell ref="N3:O3"/>
    <mergeCell ref="F5:J5"/>
    <mergeCell ref="A29:F29"/>
  </mergeCells>
  <phoneticPr fontId="8" type="noConversion"/>
  <pageMargins left="0.75" right="0.75" top="1" bottom="1" header="0.5" footer="0.5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Q37"/>
  <sheetViews>
    <sheetView view="pageBreakPreview" zoomScale="60" workbookViewId="0">
      <selection activeCell="N16" sqref="N16"/>
    </sheetView>
  </sheetViews>
  <sheetFormatPr defaultRowHeight="12.75"/>
  <cols>
    <col min="5" max="5" width="14" customWidth="1"/>
    <col min="6" max="6" width="16.7109375" customWidth="1"/>
    <col min="7" max="7" width="14.5703125" customWidth="1"/>
    <col min="8" max="8" width="19.7109375" customWidth="1"/>
    <col min="9" max="9" width="17.85546875" customWidth="1"/>
    <col min="10" max="10" width="19.85546875" customWidth="1"/>
    <col min="11" max="11" width="16.42578125" customWidth="1"/>
    <col min="13" max="14" width="16.28515625" customWidth="1"/>
    <col min="15" max="15" width="15.42578125" customWidth="1"/>
    <col min="16" max="16" width="16.28515625" customWidth="1"/>
    <col min="17" max="17" width="19.85546875" customWidth="1"/>
  </cols>
  <sheetData>
    <row r="1" spans="1:17" ht="20.25">
      <c r="A1" s="241" t="s">
        <v>40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3"/>
      <c r="P1" s="243"/>
      <c r="Q1" s="243"/>
    </row>
    <row r="2" spans="1:17" ht="20.25">
      <c r="A2" s="75"/>
      <c r="B2" s="76"/>
      <c r="C2" s="76"/>
      <c r="D2" s="244" t="s">
        <v>81</v>
      </c>
      <c r="E2" s="245"/>
      <c r="F2" s="245"/>
      <c r="G2" s="245"/>
      <c r="H2" s="245"/>
      <c r="I2" s="245"/>
      <c r="J2" s="245"/>
      <c r="K2" s="245"/>
      <c r="L2" s="75"/>
      <c r="M2" s="75"/>
      <c r="N2" s="75"/>
      <c r="O2" s="75"/>
      <c r="P2" s="75"/>
      <c r="Q2" s="75"/>
    </row>
    <row r="3" spans="1:17" ht="20.25">
      <c r="A3" s="75"/>
      <c r="B3" s="77"/>
      <c r="C3" s="78"/>
      <c r="D3" s="78"/>
      <c r="E3" s="78"/>
      <c r="F3" s="74"/>
      <c r="G3" s="79"/>
      <c r="H3" s="79"/>
      <c r="I3" s="79"/>
      <c r="J3" s="79"/>
      <c r="K3" s="79"/>
      <c r="L3" s="79"/>
      <c r="M3" s="79"/>
      <c r="N3" s="246" t="s">
        <v>22</v>
      </c>
      <c r="O3" s="246"/>
      <c r="P3" s="79"/>
      <c r="Q3" s="79"/>
    </row>
    <row r="4" spans="1:17" ht="20.25">
      <c r="A4" s="75"/>
      <c r="B4" s="80"/>
      <c r="C4" s="78"/>
      <c r="D4" s="78"/>
      <c r="E4" s="81"/>
      <c r="F4" s="82"/>
      <c r="G4" s="82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ht="20.25">
      <c r="A5" s="75"/>
      <c r="B5" s="80"/>
      <c r="C5" s="78"/>
      <c r="D5" s="78"/>
      <c r="E5" s="81"/>
      <c r="F5" s="247"/>
      <c r="G5" s="247"/>
      <c r="H5" s="247"/>
      <c r="I5" s="247"/>
      <c r="J5" s="247"/>
      <c r="K5" s="83"/>
      <c r="L5" s="75"/>
      <c r="M5" s="75"/>
      <c r="N5" s="75"/>
      <c r="O5" s="75"/>
      <c r="P5" s="75"/>
      <c r="Q5" s="75"/>
    </row>
    <row r="6" spans="1:17" ht="20.25">
      <c r="A6" s="75"/>
      <c r="B6" s="80"/>
      <c r="C6" s="78"/>
      <c r="D6" s="78"/>
      <c r="E6" s="81"/>
      <c r="F6" s="82"/>
      <c r="G6" s="82"/>
      <c r="H6" s="75"/>
      <c r="I6" s="75"/>
      <c r="J6" s="75"/>
      <c r="K6" s="75"/>
      <c r="L6" s="75"/>
      <c r="M6" s="75"/>
      <c r="N6" s="75"/>
      <c r="O6" s="75"/>
      <c r="P6" s="75"/>
      <c r="Q6" s="75"/>
    </row>
    <row r="7" spans="1:17" ht="20.25">
      <c r="A7" s="75"/>
      <c r="B7" s="80"/>
      <c r="C7" s="78"/>
      <c r="D7" s="78"/>
      <c r="E7" s="81"/>
      <c r="F7" s="82"/>
      <c r="G7" s="82"/>
      <c r="H7" s="75"/>
      <c r="I7" s="75"/>
      <c r="J7" s="75"/>
      <c r="K7" s="75"/>
      <c r="L7" s="75"/>
      <c r="M7" s="75"/>
      <c r="N7" s="75"/>
      <c r="O7" s="75"/>
      <c r="P7" s="75"/>
      <c r="Q7" s="75"/>
    </row>
    <row r="8" spans="1:17" ht="263.25">
      <c r="A8" s="84" t="s">
        <v>4</v>
      </c>
      <c r="B8" s="85" t="s">
        <v>5</v>
      </c>
      <c r="C8" s="85" t="s">
        <v>6</v>
      </c>
      <c r="D8" s="86" t="s">
        <v>0</v>
      </c>
      <c r="E8" s="85" t="s">
        <v>1</v>
      </c>
      <c r="F8" s="86" t="s">
        <v>2</v>
      </c>
      <c r="G8" s="85" t="s">
        <v>7</v>
      </c>
      <c r="H8" s="86" t="s">
        <v>10</v>
      </c>
      <c r="I8" s="85" t="s">
        <v>8</v>
      </c>
      <c r="J8" s="87" t="s">
        <v>9</v>
      </c>
      <c r="K8" s="85" t="s">
        <v>18</v>
      </c>
      <c r="L8" s="85" t="s">
        <v>3</v>
      </c>
      <c r="M8" s="85" t="s">
        <v>11</v>
      </c>
      <c r="N8" s="85" t="s">
        <v>13</v>
      </c>
      <c r="O8" s="85" t="s">
        <v>14</v>
      </c>
      <c r="P8" s="85" t="s">
        <v>12</v>
      </c>
      <c r="Q8" s="85" t="s">
        <v>16</v>
      </c>
    </row>
    <row r="9" spans="1:17" ht="20.25">
      <c r="A9" s="85">
        <v>1</v>
      </c>
      <c r="B9" s="86">
        <v>2</v>
      </c>
      <c r="C9" s="85">
        <v>3</v>
      </c>
      <c r="D9" s="86">
        <v>4</v>
      </c>
      <c r="E9" s="85">
        <v>5</v>
      </c>
      <c r="F9" s="86">
        <v>6</v>
      </c>
      <c r="G9" s="85">
        <v>7</v>
      </c>
      <c r="H9" s="86">
        <v>8</v>
      </c>
      <c r="I9" s="85">
        <v>9</v>
      </c>
      <c r="J9" s="86">
        <v>10</v>
      </c>
      <c r="K9" s="86">
        <v>11</v>
      </c>
      <c r="L9" s="85">
        <v>12</v>
      </c>
      <c r="M9" s="86">
        <v>13</v>
      </c>
      <c r="N9" s="85">
        <v>14</v>
      </c>
      <c r="O9" s="86">
        <v>15</v>
      </c>
      <c r="P9" s="85">
        <v>16</v>
      </c>
      <c r="Q9" s="87">
        <v>17</v>
      </c>
    </row>
    <row r="10" spans="1:17" ht="20.25">
      <c r="A10" s="230" t="s">
        <v>19</v>
      </c>
      <c r="B10" s="248"/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89"/>
      <c r="O10" s="89"/>
      <c r="P10" s="89"/>
      <c r="Q10" s="90"/>
    </row>
    <row r="11" spans="1:17" ht="20.25">
      <c r="A11" s="91"/>
      <c r="B11" s="92"/>
      <c r="C11" s="93"/>
      <c r="D11" s="94"/>
      <c r="E11" s="85"/>
      <c r="F11" s="95"/>
      <c r="G11" s="96"/>
      <c r="H11" s="97"/>
      <c r="I11" s="98"/>
      <c r="J11" s="99"/>
      <c r="K11" s="98"/>
      <c r="L11" s="98"/>
      <c r="M11" s="98"/>
      <c r="N11" s="98"/>
      <c r="O11" s="98"/>
      <c r="P11" s="98"/>
      <c r="Q11" s="98"/>
    </row>
    <row r="12" spans="1:17" ht="20.25">
      <c r="A12" s="100" t="s">
        <v>15</v>
      </c>
      <c r="B12" s="101"/>
      <c r="C12" s="93"/>
      <c r="D12" s="94"/>
      <c r="E12" s="85"/>
      <c r="F12" s="95"/>
      <c r="G12" s="96"/>
      <c r="H12" s="97"/>
      <c r="I12" s="98"/>
      <c r="J12" s="99"/>
      <c r="K12" s="98"/>
      <c r="L12" s="98"/>
      <c r="M12" s="98"/>
      <c r="N12" s="98"/>
      <c r="O12" s="98"/>
      <c r="P12" s="98"/>
      <c r="Q12" s="98"/>
    </row>
    <row r="13" spans="1:17" ht="20.25">
      <c r="A13" s="228" t="s">
        <v>20</v>
      </c>
      <c r="B13" s="229"/>
      <c r="C13" s="229"/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102"/>
      <c r="O13" s="102"/>
      <c r="P13" s="102"/>
      <c r="Q13" s="103"/>
    </row>
    <row r="14" spans="1:17" ht="20.25">
      <c r="A14" s="91"/>
      <c r="B14" s="92"/>
      <c r="C14" s="93"/>
      <c r="D14" s="94"/>
      <c r="E14" s="104"/>
      <c r="F14" s="105"/>
      <c r="G14" s="106"/>
      <c r="H14" s="98"/>
      <c r="I14" s="98"/>
      <c r="J14" s="98"/>
      <c r="K14" s="98"/>
      <c r="L14" s="107"/>
      <c r="M14" s="108"/>
      <c r="N14" s="108"/>
      <c r="O14" s="108"/>
      <c r="P14" s="104"/>
      <c r="Q14" s="108"/>
    </row>
    <row r="15" spans="1:17" ht="141.75">
      <c r="A15" s="91">
        <v>2</v>
      </c>
      <c r="B15" s="92" t="s">
        <v>24</v>
      </c>
      <c r="C15" s="93" t="s">
        <v>65</v>
      </c>
      <c r="D15" s="94"/>
      <c r="E15" s="104">
        <v>380000</v>
      </c>
      <c r="F15" s="105">
        <v>42819</v>
      </c>
      <c r="G15" s="109" t="s">
        <v>43</v>
      </c>
      <c r="H15" s="98">
        <v>281000</v>
      </c>
      <c r="I15" s="98"/>
      <c r="J15" s="98">
        <v>42000</v>
      </c>
      <c r="K15" s="98">
        <f>H15-J15+I15</f>
        <v>239000</v>
      </c>
      <c r="L15" s="108">
        <v>2.75</v>
      </c>
      <c r="M15" s="108">
        <v>661.28</v>
      </c>
      <c r="N15" s="108">
        <f>674.64+592.79+169.4+0.37+656.31+187.55+17.89+556.03+558.21+187.55+558.21+187.55+6.36+558.21+187.55+6.36</f>
        <v>5104.9799999999996</v>
      </c>
      <c r="O15" s="108">
        <f>2960.23+556.03</f>
        <v>3516.26</v>
      </c>
      <c r="P15" s="108">
        <f>M15+N15-O15</f>
        <v>2249.9999999999991</v>
      </c>
      <c r="Q15" s="108">
        <f>K15+P15</f>
        <v>241250</v>
      </c>
    </row>
    <row r="16" spans="1:17" ht="20.25">
      <c r="A16" s="91"/>
      <c r="B16" s="110"/>
      <c r="C16" s="93"/>
      <c r="D16" s="94"/>
      <c r="E16" s="104"/>
      <c r="F16" s="105"/>
      <c r="G16" s="111"/>
      <c r="H16" s="98"/>
      <c r="I16" s="98"/>
      <c r="J16" s="98"/>
      <c r="K16" s="98"/>
      <c r="L16" s="107"/>
      <c r="M16" s="108"/>
      <c r="N16" s="108"/>
      <c r="O16" s="108"/>
      <c r="P16" s="108"/>
      <c r="Q16" s="108"/>
    </row>
    <row r="17" spans="1:17" ht="20.25">
      <c r="A17" s="112"/>
      <c r="B17" s="110"/>
      <c r="C17" s="93"/>
      <c r="D17" s="94"/>
      <c r="E17" s="104"/>
      <c r="F17" s="105"/>
      <c r="G17" s="111"/>
      <c r="H17" s="98"/>
      <c r="I17" s="98"/>
      <c r="J17" s="98"/>
      <c r="K17" s="98">
        <f>I17-J17</f>
        <v>0</v>
      </c>
      <c r="L17" s="107"/>
      <c r="M17" s="108"/>
      <c r="N17" s="108"/>
      <c r="O17" s="108"/>
      <c r="P17" s="108"/>
      <c r="Q17" s="108"/>
    </row>
    <row r="18" spans="1:17" ht="20.25">
      <c r="A18" s="100" t="s">
        <v>15</v>
      </c>
      <c r="B18" s="101"/>
      <c r="C18" s="93"/>
      <c r="D18" s="94"/>
      <c r="E18" s="104">
        <f>E14+E15+E16+E17</f>
        <v>380000</v>
      </c>
      <c r="F18" s="104"/>
      <c r="G18" s="104"/>
      <c r="H18" s="104">
        <f t="shared" ref="H18:Q18" si="0">H14+H15+H16+H17</f>
        <v>281000</v>
      </c>
      <c r="I18" s="104">
        <f t="shared" si="0"/>
        <v>0</v>
      </c>
      <c r="J18" s="104">
        <f t="shared" si="0"/>
        <v>42000</v>
      </c>
      <c r="K18" s="104">
        <f t="shared" si="0"/>
        <v>239000</v>
      </c>
      <c r="L18" s="104"/>
      <c r="M18" s="104">
        <f t="shared" si="0"/>
        <v>661.28</v>
      </c>
      <c r="N18" s="104">
        <f t="shared" si="0"/>
        <v>5104.9799999999996</v>
      </c>
      <c r="O18" s="104">
        <f t="shared" si="0"/>
        <v>3516.26</v>
      </c>
      <c r="P18" s="104">
        <f t="shared" si="0"/>
        <v>2249.9999999999991</v>
      </c>
      <c r="Q18" s="104">
        <f t="shared" si="0"/>
        <v>241250</v>
      </c>
    </row>
    <row r="19" spans="1:17" ht="20.25">
      <c r="A19" s="230" t="s">
        <v>21</v>
      </c>
      <c r="B19" s="231"/>
      <c r="C19" s="231"/>
      <c r="D19" s="231"/>
      <c r="E19" s="231"/>
      <c r="F19" s="231"/>
      <c r="G19" s="231"/>
      <c r="H19" s="231"/>
      <c r="I19" s="231"/>
      <c r="J19" s="231"/>
      <c r="K19" s="231"/>
      <c r="L19" s="231"/>
      <c r="M19" s="231"/>
      <c r="N19" s="75"/>
      <c r="O19" s="75"/>
      <c r="P19" s="108"/>
      <c r="Q19" s="114"/>
    </row>
    <row r="20" spans="1:17" ht="20.25">
      <c r="A20" s="88"/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75"/>
      <c r="O20" s="75"/>
      <c r="P20" s="108"/>
      <c r="Q20" s="114"/>
    </row>
    <row r="21" spans="1:17" ht="21" thickBot="1">
      <c r="A21" s="115"/>
      <c r="B21" s="92"/>
      <c r="C21" s="93"/>
      <c r="D21" s="94"/>
      <c r="E21" s="85"/>
      <c r="F21" s="105"/>
      <c r="G21" s="96"/>
      <c r="H21" s="97"/>
      <c r="I21" s="98"/>
      <c r="J21" s="116"/>
      <c r="K21" s="108"/>
      <c r="L21" s="98"/>
      <c r="M21" s="98"/>
      <c r="N21" s="108"/>
      <c r="O21" s="108"/>
      <c r="P21" s="108"/>
      <c r="Q21" s="108"/>
    </row>
    <row r="22" spans="1:17" ht="20.25">
      <c r="A22" s="117"/>
      <c r="B22" s="92"/>
      <c r="C22" s="93"/>
      <c r="D22" s="94"/>
      <c r="E22" s="85"/>
      <c r="F22" s="105"/>
      <c r="G22" s="96"/>
      <c r="H22" s="97"/>
      <c r="I22" s="98"/>
      <c r="J22" s="116"/>
      <c r="K22" s="98"/>
      <c r="L22" s="98"/>
      <c r="M22" s="98"/>
      <c r="N22" s="108"/>
      <c r="O22" s="108"/>
      <c r="P22" s="108"/>
      <c r="Q22" s="108"/>
    </row>
    <row r="23" spans="1:17" ht="20.25">
      <c r="A23" s="91"/>
      <c r="B23" s="92"/>
      <c r="C23" s="93"/>
      <c r="D23" s="94"/>
      <c r="E23" s="85"/>
      <c r="F23" s="105"/>
      <c r="G23" s="96"/>
      <c r="H23" s="97"/>
      <c r="I23" s="98"/>
      <c r="J23" s="116"/>
      <c r="K23" s="98"/>
      <c r="L23" s="108"/>
      <c r="M23" s="98"/>
      <c r="N23" s="108"/>
      <c r="O23" s="108"/>
      <c r="P23" s="108"/>
      <c r="Q23" s="108"/>
    </row>
    <row r="24" spans="1:17" ht="20.25">
      <c r="A24" s="118" t="s">
        <v>15</v>
      </c>
      <c r="B24" s="101"/>
      <c r="C24" s="93"/>
      <c r="D24" s="94"/>
      <c r="E24" s="85">
        <f>E21+E22+E23</f>
        <v>0</v>
      </c>
      <c r="F24" s="95"/>
      <c r="G24" s="96"/>
      <c r="H24" s="98">
        <f>H21+H22+H23</f>
        <v>0</v>
      </c>
      <c r="I24" s="98">
        <f t="shared" ref="I24:N24" si="1">I21+I22+I23</f>
        <v>0</v>
      </c>
      <c r="J24" s="98">
        <f t="shared" si="1"/>
        <v>0</v>
      </c>
      <c r="K24" s="98">
        <f t="shared" si="1"/>
        <v>0</v>
      </c>
      <c r="L24" s="98"/>
      <c r="M24" s="98">
        <f t="shared" si="1"/>
        <v>0</v>
      </c>
      <c r="N24" s="108">
        <f t="shared" si="1"/>
        <v>0</v>
      </c>
      <c r="O24" s="108">
        <f>O21+O22+O23</f>
        <v>0</v>
      </c>
      <c r="P24" s="108">
        <f>M24+N24</f>
        <v>0</v>
      </c>
      <c r="Q24" s="98">
        <f>Q21+Q22+Q23</f>
        <v>0</v>
      </c>
    </row>
    <row r="25" spans="1:17" ht="20.25">
      <c r="A25" s="230"/>
      <c r="B25" s="232"/>
      <c r="C25" s="232"/>
      <c r="D25" s="232"/>
      <c r="E25" s="232"/>
      <c r="F25" s="232"/>
      <c r="G25" s="232"/>
      <c r="H25" s="232"/>
      <c r="I25" s="232"/>
      <c r="J25" s="232"/>
      <c r="K25" s="232"/>
      <c r="L25" s="232"/>
      <c r="M25" s="232"/>
      <c r="N25" s="75"/>
      <c r="O25" s="75"/>
      <c r="P25" s="108"/>
      <c r="Q25" s="114"/>
    </row>
    <row r="26" spans="1:17" ht="20.25">
      <c r="A26" s="91"/>
      <c r="B26" s="92"/>
      <c r="C26" s="93"/>
      <c r="D26" s="94"/>
      <c r="E26" s="85"/>
      <c r="F26" s="95"/>
      <c r="G26" s="96"/>
      <c r="H26" s="97"/>
      <c r="I26" s="98"/>
      <c r="J26" s="99"/>
      <c r="K26" s="98"/>
      <c r="L26" s="98"/>
      <c r="M26" s="98"/>
      <c r="N26" s="98"/>
      <c r="O26" s="98"/>
      <c r="P26" s="108"/>
      <c r="Q26" s="98"/>
    </row>
    <row r="27" spans="1:17" ht="20.25">
      <c r="A27" s="100" t="s">
        <v>15</v>
      </c>
      <c r="B27" s="101"/>
      <c r="C27" s="93">
        <v>0</v>
      </c>
      <c r="D27" s="94"/>
      <c r="E27" s="85"/>
      <c r="F27" s="95"/>
      <c r="G27" s="96"/>
      <c r="H27" s="97"/>
      <c r="I27" s="98"/>
      <c r="J27" s="99"/>
      <c r="K27" s="98"/>
      <c r="L27" s="98"/>
      <c r="M27" s="98"/>
      <c r="N27" s="98"/>
      <c r="O27" s="98"/>
      <c r="P27" s="108"/>
      <c r="Q27" s="98"/>
    </row>
    <row r="28" spans="1:17" ht="20.25">
      <c r="A28" s="233" t="s">
        <v>17</v>
      </c>
      <c r="B28" s="234"/>
      <c r="C28" s="235"/>
      <c r="D28" s="235"/>
      <c r="E28" s="235"/>
      <c r="F28" s="236"/>
      <c r="G28" s="119"/>
      <c r="H28" s="120">
        <f>H18+H24</f>
        <v>281000</v>
      </c>
      <c r="I28" s="120">
        <f>I18+I24</f>
        <v>0</v>
      </c>
      <c r="J28" s="121">
        <f>J18+J24</f>
        <v>42000</v>
      </c>
      <c r="K28" s="121">
        <f>K18+K24</f>
        <v>239000</v>
      </c>
      <c r="L28" s="122"/>
      <c r="M28" s="120">
        <f>M18</f>
        <v>661.28</v>
      </c>
      <c r="N28" s="121">
        <f>N18+N24</f>
        <v>5104.9799999999996</v>
      </c>
      <c r="O28" s="121">
        <f>O18+O24</f>
        <v>3516.26</v>
      </c>
      <c r="P28" s="108">
        <f>M28+N28-O28</f>
        <v>2249.9999999999991</v>
      </c>
      <c r="Q28" s="121">
        <f>Q18+Q24</f>
        <v>241250</v>
      </c>
    </row>
    <row r="29" spans="1:17" ht="20.25">
      <c r="A29" s="123"/>
      <c r="B29" s="124"/>
      <c r="C29" s="125"/>
      <c r="D29" s="125"/>
      <c r="E29" s="126"/>
      <c r="F29" s="127"/>
      <c r="G29" s="127"/>
      <c r="H29" s="128"/>
      <c r="I29" s="129"/>
      <c r="J29" s="129"/>
      <c r="K29" s="128"/>
      <c r="L29" s="128"/>
      <c r="M29" s="128"/>
      <c r="N29" s="128"/>
      <c r="O29" s="128"/>
      <c r="P29" s="128"/>
      <c r="Q29" s="128"/>
    </row>
    <row r="30" spans="1:17" ht="20.25">
      <c r="A30" s="75"/>
      <c r="B30" s="80"/>
      <c r="C30" s="78"/>
      <c r="D30" s="78"/>
      <c r="E30" s="81"/>
      <c r="F30" s="82"/>
      <c r="G30" s="82"/>
      <c r="H30" s="75"/>
      <c r="I30" s="75"/>
      <c r="J30" s="75"/>
      <c r="K30" s="75"/>
      <c r="L30" s="75"/>
      <c r="M30" s="75"/>
      <c r="N30" s="130"/>
      <c r="O30" s="75"/>
      <c r="P30" s="75"/>
      <c r="Q30" s="75"/>
    </row>
    <row r="31" spans="1:17" ht="20.25">
      <c r="A31" s="75"/>
      <c r="B31" s="226" t="s">
        <v>53</v>
      </c>
      <c r="C31" s="237"/>
      <c r="D31" s="237"/>
      <c r="E31" s="238"/>
      <c r="F31" s="239"/>
      <c r="G31" s="239"/>
      <c r="H31" s="240"/>
      <c r="I31" s="227"/>
      <c r="J31" s="227"/>
      <c r="K31" s="227"/>
      <c r="L31" s="75"/>
      <c r="M31" s="75"/>
      <c r="N31" s="75"/>
      <c r="O31" s="75"/>
      <c r="P31" s="75"/>
      <c r="Q31" s="75"/>
    </row>
    <row r="32" spans="1:17" ht="20.25">
      <c r="A32" s="75"/>
      <c r="B32" s="80"/>
      <c r="C32" s="78"/>
      <c r="D32" s="78"/>
      <c r="E32" s="81"/>
      <c r="F32" s="82"/>
      <c r="G32" s="82"/>
      <c r="H32" s="75"/>
      <c r="I32" s="75"/>
      <c r="J32" s="75"/>
      <c r="K32" s="75"/>
      <c r="L32" s="75"/>
      <c r="M32" s="75"/>
      <c r="N32" s="75"/>
      <c r="O32" s="75"/>
      <c r="P32" s="75"/>
      <c r="Q32" s="75"/>
    </row>
    <row r="33" spans="1:17" ht="20.25">
      <c r="A33" s="75"/>
      <c r="B33" s="80"/>
      <c r="C33" s="78"/>
      <c r="D33" s="78"/>
      <c r="E33" s="81"/>
      <c r="F33" s="82"/>
      <c r="G33" s="82"/>
      <c r="H33" s="75"/>
      <c r="I33" s="75"/>
      <c r="J33" s="75"/>
      <c r="K33" s="75"/>
      <c r="L33" s="75"/>
      <c r="M33" s="75"/>
      <c r="N33" s="75"/>
      <c r="O33" s="75"/>
      <c r="P33" s="75"/>
      <c r="Q33" s="75"/>
    </row>
    <row r="34" spans="1:17" ht="20.25">
      <c r="A34" s="75"/>
      <c r="B34" s="226" t="s">
        <v>74</v>
      </c>
      <c r="C34" s="227"/>
      <c r="D34" s="227"/>
      <c r="E34" s="227"/>
      <c r="F34" s="227"/>
      <c r="G34" s="227"/>
      <c r="H34" s="227"/>
      <c r="I34" s="227"/>
      <c r="J34" s="227"/>
      <c r="K34" s="227"/>
      <c r="L34" s="75"/>
      <c r="M34" s="75"/>
      <c r="N34" s="75"/>
      <c r="O34" s="75"/>
      <c r="P34" s="75"/>
      <c r="Q34" s="75"/>
    </row>
    <row r="35" spans="1:17">
      <c r="A35" s="1"/>
      <c r="B35" s="11"/>
      <c r="C35" s="5"/>
      <c r="D35" s="5"/>
      <c r="E35" s="10"/>
      <c r="F35" s="13"/>
      <c r="G35" s="13"/>
      <c r="H35" s="1"/>
      <c r="I35" s="1"/>
      <c r="J35" s="1"/>
      <c r="K35" s="1"/>
      <c r="L35" s="1"/>
      <c r="M35" s="1"/>
      <c r="N35" s="1"/>
      <c r="O35" s="1"/>
      <c r="P35" s="1"/>
      <c r="Q35" s="1"/>
    </row>
    <row r="37" spans="1:17">
      <c r="B37" t="s">
        <v>58</v>
      </c>
    </row>
  </sheetData>
  <mergeCells count="11">
    <mergeCell ref="A1:Q1"/>
    <mergeCell ref="D2:K2"/>
    <mergeCell ref="N3:O3"/>
    <mergeCell ref="F5:J5"/>
    <mergeCell ref="A10:M10"/>
    <mergeCell ref="B34:K34"/>
    <mergeCell ref="A13:M13"/>
    <mergeCell ref="A19:M19"/>
    <mergeCell ref="A25:M25"/>
    <mergeCell ref="A28:F28"/>
    <mergeCell ref="B31:K31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36"/>
  <sheetViews>
    <sheetView view="pageBreakPreview" zoomScale="60" workbookViewId="0">
      <selection activeCell="N15" sqref="N15"/>
    </sheetView>
  </sheetViews>
  <sheetFormatPr defaultRowHeight="12.75"/>
  <cols>
    <col min="3" max="3" width="11.28515625" customWidth="1"/>
    <col min="5" max="5" width="18" customWidth="1"/>
    <col min="6" max="6" width="16.42578125" customWidth="1"/>
    <col min="8" max="8" width="18.28515625" customWidth="1"/>
    <col min="9" max="9" width="15.42578125" customWidth="1"/>
    <col min="10" max="10" width="17.28515625" customWidth="1"/>
    <col min="11" max="11" width="18" customWidth="1"/>
    <col min="13" max="13" width="14" customWidth="1"/>
    <col min="14" max="14" width="14.85546875" customWidth="1"/>
    <col min="15" max="15" width="15.42578125" customWidth="1"/>
    <col min="16" max="16" width="13.42578125" customWidth="1"/>
    <col min="17" max="17" width="22.28515625" customWidth="1"/>
  </cols>
  <sheetData>
    <row r="1" spans="1:17" ht="18">
      <c r="A1" s="223" t="s">
        <v>41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64"/>
      <c r="P1" s="264"/>
      <c r="Q1" s="264"/>
    </row>
    <row r="2" spans="1:17" ht="18.75">
      <c r="A2" s="131"/>
      <c r="B2" s="132"/>
      <c r="C2" s="132"/>
      <c r="D2" s="265" t="s">
        <v>79</v>
      </c>
      <c r="E2" s="266"/>
      <c r="F2" s="266"/>
      <c r="G2" s="266"/>
      <c r="H2" s="266"/>
      <c r="I2" s="266"/>
      <c r="J2" s="266"/>
      <c r="K2" s="266"/>
      <c r="L2" s="131"/>
      <c r="M2" s="131"/>
      <c r="N2" s="131"/>
      <c r="O2" s="131"/>
      <c r="P2" s="131"/>
      <c r="Q2" s="131"/>
    </row>
    <row r="3" spans="1:17" ht="18.75">
      <c r="A3" s="131"/>
      <c r="B3" s="133"/>
      <c r="C3" s="134"/>
      <c r="D3" s="134"/>
      <c r="E3" s="134"/>
      <c r="F3" s="73"/>
      <c r="G3" s="135"/>
      <c r="H3" s="135"/>
      <c r="I3" s="135"/>
      <c r="J3" s="135"/>
      <c r="K3" s="135"/>
      <c r="L3" s="135"/>
      <c r="M3" s="135"/>
      <c r="N3" s="267" t="s">
        <v>22</v>
      </c>
      <c r="O3" s="267"/>
      <c r="P3" s="135"/>
      <c r="Q3" s="135"/>
    </row>
    <row r="4" spans="1:17" ht="3" customHeight="1">
      <c r="A4" s="131"/>
      <c r="B4" s="136"/>
      <c r="C4" s="134"/>
      <c r="D4" s="134"/>
      <c r="E4" s="137"/>
      <c r="F4" s="138"/>
      <c r="G4" s="138"/>
      <c r="H4" s="131"/>
      <c r="I4" s="131"/>
      <c r="J4" s="131"/>
      <c r="K4" s="131"/>
      <c r="L4" s="131"/>
      <c r="M4" s="131"/>
      <c r="N4" s="131"/>
      <c r="O4" s="131"/>
      <c r="P4" s="131"/>
      <c r="Q4" s="131"/>
    </row>
    <row r="5" spans="1:17" ht="18.75" hidden="1">
      <c r="A5" s="131"/>
      <c r="B5" s="136"/>
      <c r="C5" s="134"/>
      <c r="D5" s="134"/>
      <c r="E5" s="137"/>
      <c r="F5" s="268"/>
      <c r="G5" s="268"/>
      <c r="H5" s="268"/>
      <c r="I5" s="268"/>
      <c r="J5" s="268"/>
      <c r="K5" s="139"/>
      <c r="L5" s="131"/>
      <c r="M5" s="131"/>
      <c r="N5" s="131"/>
      <c r="O5" s="131"/>
      <c r="P5" s="131"/>
      <c r="Q5" s="131"/>
    </row>
    <row r="6" spans="1:17" ht="18.75" hidden="1">
      <c r="A6" s="131"/>
      <c r="B6" s="136"/>
      <c r="C6" s="134"/>
      <c r="D6" s="134"/>
      <c r="E6" s="137"/>
      <c r="F6" s="138"/>
      <c r="G6" s="138"/>
      <c r="H6" s="131"/>
      <c r="I6" s="131"/>
      <c r="J6" s="131"/>
      <c r="K6" s="131"/>
      <c r="L6" s="131"/>
      <c r="M6" s="131"/>
      <c r="N6" s="131"/>
      <c r="O6" s="131"/>
      <c r="P6" s="131"/>
      <c r="Q6" s="131"/>
    </row>
    <row r="7" spans="1:17" ht="18.75" hidden="1">
      <c r="A7" s="131"/>
      <c r="B7" s="136"/>
      <c r="C7" s="134"/>
      <c r="D7" s="134"/>
      <c r="E7" s="137"/>
      <c r="F7" s="138"/>
      <c r="G7" s="138"/>
      <c r="H7" s="131"/>
      <c r="I7" s="131"/>
      <c r="J7" s="131"/>
      <c r="K7" s="131"/>
      <c r="L7" s="131"/>
      <c r="M7" s="131"/>
      <c r="N7" s="131"/>
      <c r="O7" s="131"/>
      <c r="P7" s="131"/>
      <c r="Q7" s="131"/>
    </row>
    <row r="8" spans="1:17" ht="187.5">
      <c r="A8" s="140" t="s">
        <v>4</v>
      </c>
      <c r="B8" s="141" t="s">
        <v>5</v>
      </c>
      <c r="C8" s="141" t="s">
        <v>6</v>
      </c>
      <c r="D8" s="142" t="s">
        <v>0</v>
      </c>
      <c r="E8" s="141" t="s">
        <v>1</v>
      </c>
      <c r="F8" s="142" t="s">
        <v>2</v>
      </c>
      <c r="G8" s="141" t="s">
        <v>7</v>
      </c>
      <c r="H8" s="142" t="s">
        <v>10</v>
      </c>
      <c r="I8" s="141" t="s">
        <v>8</v>
      </c>
      <c r="J8" s="143" t="s">
        <v>9</v>
      </c>
      <c r="K8" s="141" t="s">
        <v>18</v>
      </c>
      <c r="L8" s="141" t="s">
        <v>3</v>
      </c>
      <c r="M8" s="141" t="s">
        <v>11</v>
      </c>
      <c r="N8" s="141" t="s">
        <v>13</v>
      </c>
      <c r="O8" s="141" t="s">
        <v>14</v>
      </c>
      <c r="P8" s="141" t="s">
        <v>12</v>
      </c>
      <c r="Q8" s="141" t="s">
        <v>16</v>
      </c>
    </row>
    <row r="9" spans="1:17" ht="18.75">
      <c r="A9" s="141">
        <v>1</v>
      </c>
      <c r="B9" s="142">
        <v>2</v>
      </c>
      <c r="C9" s="141">
        <v>3</v>
      </c>
      <c r="D9" s="142">
        <v>4</v>
      </c>
      <c r="E9" s="141">
        <v>5</v>
      </c>
      <c r="F9" s="142">
        <v>6</v>
      </c>
      <c r="G9" s="141">
        <v>7</v>
      </c>
      <c r="H9" s="142">
        <v>8</v>
      </c>
      <c r="I9" s="141">
        <v>9</v>
      </c>
      <c r="J9" s="142">
        <v>10</v>
      </c>
      <c r="K9" s="142">
        <v>11</v>
      </c>
      <c r="L9" s="141">
        <v>12</v>
      </c>
      <c r="M9" s="142">
        <v>13</v>
      </c>
      <c r="N9" s="141">
        <v>14</v>
      </c>
      <c r="O9" s="142">
        <v>15</v>
      </c>
      <c r="P9" s="141">
        <v>16</v>
      </c>
      <c r="Q9" s="143">
        <v>17</v>
      </c>
    </row>
    <row r="10" spans="1:17" ht="18.75">
      <c r="A10" s="253" t="s">
        <v>19</v>
      </c>
      <c r="B10" s="269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145"/>
      <c r="O10" s="145"/>
      <c r="P10" s="145"/>
      <c r="Q10" s="146"/>
    </row>
    <row r="11" spans="1:17" ht="19.5">
      <c r="A11" s="147"/>
      <c r="B11" s="148"/>
      <c r="C11" s="149"/>
      <c r="D11" s="150"/>
      <c r="E11" s="141"/>
      <c r="F11" s="151"/>
      <c r="G11" s="152"/>
      <c r="H11" s="153"/>
      <c r="I11" s="154"/>
      <c r="J11" s="155"/>
      <c r="K11" s="154"/>
      <c r="L11" s="154"/>
      <c r="M11" s="154"/>
      <c r="N11" s="154"/>
      <c r="O11" s="154"/>
      <c r="P11" s="154"/>
      <c r="Q11" s="154"/>
    </row>
    <row r="12" spans="1:17" ht="19.5">
      <c r="A12" s="156" t="s">
        <v>15</v>
      </c>
      <c r="B12" s="157"/>
      <c r="C12" s="149"/>
      <c r="D12" s="150"/>
      <c r="E12" s="141"/>
      <c r="F12" s="151"/>
      <c r="G12" s="152"/>
      <c r="H12" s="153"/>
      <c r="I12" s="154"/>
      <c r="J12" s="155"/>
      <c r="K12" s="154"/>
      <c r="L12" s="154"/>
      <c r="M12" s="154"/>
      <c r="N12" s="154"/>
      <c r="O12" s="154"/>
      <c r="P12" s="154"/>
      <c r="Q12" s="154"/>
    </row>
    <row r="13" spans="1:17" ht="18.75">
      <c r="A13" s="251" t="s">
        <v>20</v>
      </c>
      <c r="B13" s="252"/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158"/>
      <c r="O13" s="158"/>
      <c r="P13" s="158"/>
      <c r="Q13" s="159"/>
    </row>
    <row r="14" spans="1:17" ht="19.5">
      <c r="A14" s="147"/>
      <c r="B14" s="148"/>
      <c r="C14" s="149"/>
      <c r="D14" s="150"/>
      <c r="E14" s="160"/>
      <c r="F14" s="161"/>
      <c r="G14" s="162"/>
      <c r="H14" s="154"/>
      <c r="I14" s="154"/>
      <c r="J14" s="154"/>
      <c r="K14" s="154"/>
      <c r="L14" s="163"/>
      <c r="M14" s="164"/>
      <c r="N14" s="164"/>
      <c r="O14" s="164"/>
      <c r="P14" s="160"/>
      <c r="Q14" s="164"/>
    </row>
    <row r="15" spans="1:17" ht="187.5">
      <c r="A15" s="147">
        <v>2</v>
      </c>
      <c r="B15" s="148" t="s">
        <v>24</v>
      </c>
      <c r="C15" s="149" t="s">
        <v>66</v>
      </c>
      <c r="D15" s="150" t="s">
        <v>32</v>
      </c>
      <c r="E15" s="160">
        <v>1100000</v>
      </c>
      <c r="F15" s="161">
        <v>42819</v>
      </c>
      <c r="G15" s="165" t="s">
        <v>43</v>
      </c>
      <c r="H15" s="154">
        <v>821000</v>
      </c>
      <c r="I15" s="154"/>
      <c r="J15" s="154">
        <f>31000+31000+31000+31000+16000+36000</f>
        <v>176000</v>
      </c>
      <c r="K15" s="154">
        <f>H15-J15+I15</f>
        <v>645000</v>
      </c>
      <c r="L15" s="172">
        <v>2.75</v>
      </c>
      <c r="M15" s="164">
        <v>2399.58</v>
      </c>
      <c r="N15" s="164">
        <f>2610.2+2243.1+85.25+1854.97+1753.97+1865.18+127.88+1903.6</f>
        <v>12444.15</v>
      </c>
      <c r="O15" s="164">
        <f>2399.58+2610.2+2413.6+1769.72+1753.97+1993.06</f>
        <v>12940.129999999997</v>
      </c>
      <c r="P15" s="164">
        <f>N15-O15+M15</f>
        <v>1903.6000000000022</v>
      </c>
      <c r="Q15" s="164">
        <f>K15+M15+N15-O15</f>
        <v>646903.6</v>
      </c>
    </row>
    <row r="16" spans="1:17" ht="19.5">
      <c r="A16" s="147"/>
      <c r="B16" s="166"/>
      <c r="C16" s="149"/>
      <c r="D16" s="150"/>
      <c r="E16" s="160"/>
      <c r="F16" s="161"/>
      <c r="G16" s="167"/>
      <c r="H16" s="154"/>
      <c r="I16" s="154"/>
      <c r="J16" s="154"/>
      <c r="K16" s="154"/>
      <c r="L16" s="163"/>
      <c r="M16" s="164"/>
      <c r="N16" s="164"/>
      <c r="O16" s="164"/>
      <c r="P16" s="164"/>
      <c r="Q16" s="164"/>
    </row>
    <row r="17" spans="1:17" ht="19.5">
      <c r="A17" s="168"/>
      <c r="B17" s="166"/>
      <c r="C17" s="149"/>
      <c r="D17" s="150"/>
      <c r="E17" s="160"/>
      <c r="F17" s="161"/>
      <c r="G17" s="167"/>
      <c r="H17" s="154"/>
      <c r="I17" s="154"/>
      <c r="J17" s="154"/>
      <c r="K17" s="154">
        <f>I17-J17</f>
        <v>0</v>
      </c>
      <c r="L17" s="163"/>
      <c r="M17" s="164"/>
      <c r="N17" s="164"/>
      <c r="O17" s="164"/>
      <c r="P17" s="164"/>
      <c r="Q17" s="154"/>
    </row>
    <row r="18" spans="1:17" ht="18.75">
      <c r="A18" s="156" t="s">
        <v>15</v>
      </c>
      <c r="B18" s="157"/>
      <c r="C18" s="149"/>
      <c r="D18" s="150"/>
      <c r="E18" s="160">
        <f>E15+E16+E17</f>
        <v>1100000</v>
      </c>
      <c r="F18" s="160"/>
      <c r="G18" s="160"/>
      <c r="H18" s="160">
        <v>821000</v>
      </c>
      <c r="I18" s="160"/>
      <c r="J18" s="160">
        <f t="shared" ref="J18:Q18" si="0">J15+J16+J17</f>
        <v>176000</v>
      </c>
      <c r="K18" s="160">
        <f t="shared" si="0"/>
        <v>645000</v>
      </c>
      <c r="L18" s="160">
        <f t="shared" si="0"/>
        <v>2.75</v>
      </c>
      <c r="M18" s="160">
        <f t="shared" si="0"/>
        <v>2399.58</v>
      </c>
      <c r="N18" s="160">
        <f t="shared" si="0"/>
        <v>12444.15</v>
      </c>
      <c r="O18" s="160">
        <f t="shared" si="0"/>
        <v>12940.129999999997</v>
      </c>
      <c r="P18" s="160">
        <f t="shared" si="0"/>
        <v>1903.6000000000022</v>
      </c>
      <c r="Q18" s="160">
        <f t="shared" si="0"/>
        <v>646903.6</v>
      </c>
    </row>
    <row r="19" spans="1:17" ht="18.75">
      <c r="A19" s="253" t="s">
        <v>21</v>
      </c>
      <c r="B19" s="254"/>
      <c r="C19" s="254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131"/>
      <c r="O19" s="131"/>
      <c r="P19" s="131"/>
      <c r="Q19" s="170"/>
    </row>
    <row r="20" spans="1:17" ht="18.75">
      <c r="A20" s="144"/>
      <c r="B20" s="169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31"/>
      <c r="O20" s="131"/>
      <c r="P20" s="131"/>
      <c r="Q20" s="170"/>
    </row>
    <row r="21" spans="1:17" ht="19.5" hidden="1">
      <c r="A21" s="171"/>
      <c r="B21" s="148"/>
      <c r="C21" s="149"/>
      <c r="D21" s="150"/>
      <c r="E21" s="141"/>
      <c r="F21" s="161"/>
      <c r="G21" s="152"/>
      <c r="H21" s="153"/>
      <c r="I21" s="154"/>
      <c r="J21" s="172"/>
      <c r="K21" s="164"/>
      <c r="L21" s="154"/>
      <c r="M21" s="154"/>
      <c r="N21" s="164"/>
      <c r="O21" s="164"/>
      <c r="P21" s="160"/>
      <c r="Q21" s="164"/>
    </row>
    <row r="22" spans="1:17" ht="19.5" hidden="1">
      <c r="A22" s="173"/>
      <c r="B22" s="148"/>
      <c r="C22" s="149"/>
      <c r="D22" s="150"/>
      <c r="E22" s="141"/>
      <c r="F22" s="161"/>
      <c r="G22" s="152"/>
      <c r="H22" s="153"/>
      <c r="I22" s="154"/>
      <c r="J22" s="172"/>
      <c r="K22" s="154"/>
      <c r="L22" s="154"/>
      <c r="M22" s="154"/>
      <c r="N22" s="164"/>
      <c r="O22" s="164"/>
      <c r="P22" s="160"/>
      <c r="Q22" s="164"/>
    </row>
    <row r="23" spans="1:17" ht="19.5" hidden="1">
      <c r="A23" s="147"/>
      <c r="B23" s="148"/>
      <c r="C23" s="149"/>
      <c r="D23" s="150"/>
      <c r="E23" s="141"/>
      <c r="F23" s="161"/>
      <c r="G23" s="152"/>
      <c r="H23" s="153"/>
      <c r="I23" s="154"/>
      <c r="J23" s="172"/>
      <c r="K23" s="154"/>
      <c r="L23" s="164"/>
      <c r="M23" s="154"/>
      <c r="N23" s="164"/>
      <c r="O23" s="164"/>
      <c r="P23" s="160"/>
      <c r="Q23" s="164"/>
    </row>
    <row r="24" spans="1:17" ht="19.5">
      <c r="A24" s="174" t="s">
        <v>15</v>
      </c>
      <c r="B24" s="157"/>
      <c r="C24" s="149"/>
      <c r="D24" s="150"/>
      <c r="E24" s="141">
        <f>E21+E22+E23</f>
        <v>0</v>
      </c>
      <c r="F24" s="151"/>
      <c r="G24" s="152"/>
      <c r="H24" s="154">
        <f>H21+H22+H23</f>
        <v>0</v>
      </c>
      <c r="I24" s="154">
        <f t="shared" ref="I24:N24" si="1">I21+I22+I23</f>
        <v>0</v>
      </c>
      <c r="J24" s="154">
        <f t="shared" si="1"/>
        <v>0</v>
      </c>
      <c r="K24" s="154">
        <f t="shared" si="1"/>
        <v>0</v>
      </c>
      <c r="L24" s="154"/>
      <c r="M24" s="154">
        <f t="shared" si="1"/>
        <v>0</v>
      </c>
      <c r="N24" s="164">
        <f t="shared" si="1"/>
        <v>0</v>
      </c>
      <c r="O24" s="164">
        <f>O21+O22+O23</f>
        <v>0</v>
      </c>
      <c r="P24" s="154">
        <f>P21+P22+P23</f>
        <v>0</v>
      </c>
      <c r="Q24" s="154">
        <f>Q21+Q22+Q23</f>
        <v>0</v>
      </c>
    </row>
    <row r="25" spans="1:17" ht="18.75">
      <c r="A25" s="253"/>
      <c r="B25" s="255"/>
      <c r="C25" s="255"/>
      <c r="D25" s="255"/>
      <c r="E25" s="255"/>
      <c r="F25" s="255"/>
      <c r="G25" s="255"/>
      <c r="H25" s="255"/>
      <c r="I25" s="255"/>
      <c r="J25" s="255"/>
      <c r="K25" s="255"/>
      <c r="L25" s="255"/>
      <c r="M25" s="255"/>
      <c r="N25" s="131"/>
      <c r="O25" s="131"/>
      <c r="P25" s="131"/>
      <c r="Q25" s="170"/>
    </row>
    <row r="26" spans="1:17" ht="19.5">
      <c r="A26" s="147"/>
      <c r="B26" s="148"/>
      <c r="C26" s="149"/>
      <c r="D26" s="150"/>
      <c r="E26" s="141"/>
      <c r="F26" s="151"/>
      <c r="G26" s="152"/>
      <c r="H26" s="153"/>
      <c r="I26" s="154"/>
      <c r="J26" s="155"/>
      <c r="K26" s="154"/>
      <c r="L26" s="154"/>
      <c r="M26" s="154"/>
      <c r="N26" s="154"/>
      <c r="O26" s="154"/>
      <c r="P26" s="154"/>
      <c r="Q26" s="154"/>
    </row>
    <row r="27" spans="1:17" ht="19.5">
      <c r="A27" s="156" t="s">
        <v>15</v>
      </c>
      <c r="B27" s="157"/>
      <c r="C27" s="149">
        <v>0</v>
      </c>
      <c r="D27" s="150"/>
      <c r="E27" s="141"/>
      <c r="F27" s="151"/>
      <c r="G27" s="152"/>
      <c r="H27" s="153"/>
      <c r="I27" s="154"/>
      <c r="J27" s="155"/>
      <c r="K27" s="154"/>
      <c r="L27" s="154"/>
      <c r="M27" s="154"/>
      <c r="N27" s="154"/>
      <c r="O27" s="154"/>
      <c r="P27" s="154"/>
      <c r="Q27" s="154"/>
    </row>
    <row r="28" spans="1:17" ht="18.75">
      <c r="A28" s="256" t="s">
        <v>17</v>
      </c>
      <c r="B28" s="257"/>
      <c r="C28" s="258"/>
      <c r="D28" s="258"/>
      <c r="E28" s="258"/>
      <c r="F28" s="259"/>
      <c r="G28" s="175"/>
      <c r="H28" s="176">
        <f>H18+H24</f>
        <v>821000</v>
      </c>
      <c r="I28" s="176">
        <f>I18+I24</f>
        <v>0</v>
      </c>
      <c r="J28" s="177">
        <f>J18+J24</f>
        <v>176000</v>
      </c>
      <c r="K28" s="177">
        <f>K18+K24</f>
        <v>645000</v>
      </c>
      <c r="L28" s="58"/>
      <c r="M28" s="176">
        <f>M18</f>
        <v>2399.58</v>
      </c>
      <c r="N28" s="177">
        <f>N18+N24</f>
        <v>12444.15</v>
      </c>
      <c r="O28" s="177">
        <f>O18+O24</f>
        <v>12940.129999999997</v>
      </c>
      <c r="P28" s="177">
        <f>P18+P24</f>
        <v>1903.6000000000022</v>
      </c>
      <c r="Q28" s="177">
        <f>K28+P28</f>
        <v>646903.6</v>
      </c>
    </row>
    <row r="29" spans="1:17" ht="18.75">
      <c r="A29" s="178"/>
      <c r="B29" s="179"/>
      <c r="C29" s="180"/>
      <c r="D29" s="180"/>
      <c r="E29" s="181"/>
      <c r="F29" s="182"/>
      <c r="G29" s="182"/>
      <c r="H29" s="26"/>
      <c r="I29" s="27"/>
      <c r="J29" s="27"/>
      <c r="K29" s="26"/>
      <c r="L29" s="26"/>
      <c r="M29" s="26"/>
      <c r="N29" s="26"/>
      <c r="O29" s="26"/>
      <c r="P29" s="26"/>
      <c r="Q29" s="26"/>
    </row>
    <row r="30" spans="1:17" ht="18.75">
      <c r="A30" s="131"/>
      <c r="B30" s="136"/>
      <c r="C30" s="134"/>
      <c r="D30" s="134"/>
      <c r="E30" s="137"/>
      <c r="F30" s="138"/>
      <c r="G30" s="138"/>
      <c r="H30" s="131"/>
      <c r="I30" s="131"/>
      <c r="J30" s="131"/>
      <c r="K30" s="131"/>
      <c r="L30" s="131"/>
      <c r="M30" s="131"/>
      <c r="N30" s="183"/>
      <c r="O30" s="131"/>
      <c r="P30" s="131"/>
      <c r="Q30" s="131"/>
    </row>
    <row r="31" spans="1:17" ht="18.75">
      <c r="A31" s="131"/>
      <c r="B31" s="249" t="s">
        <v>53</v>
      </c>
      <c r="C31" s="260"/>
      <c r="D31" s="260"/>
      <c r="E31" s="261"/>
      <c r="F31" s="262"/>
      <c r="G31" s="262"/>
      <c r="H31" s="263"/>
      <c r="I31" s="250"/>
      <c r="J31" s="250"/>
      <c r="K31" s="250"/>
      <c r="L31" s="131"/>
      <c r="M31" s="131"/>
      <c r="N31" s="131"/>
      <c r="O31" s="131"/>
      <c r="P31" s="131"/>
      <c r="Q31" s="131"/>
    </row>
    <row r="32" spans="1:17" ht="18.75">
      <c r="A32" s="131"/>
      <c r="B32" s="136"/>
      <c r="C32" s="134"/>
      <c r="D32" s="134"/>
      <c r="E32" s="137"/>
      <c r="F32" s="138"/>
      <c r="G32" s="138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8.75">
      <c r="A33" s="131"/>
      <c r="B33" s="136"/>
      <c r="C33" s="134"/>
      <c r="D33" s="134"/>
      <c r="E33" s="137"/>
      <c r="F33" s="138"/>
      <c r="G33" s="138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8.75">
      <c r="A34" s="131"/>
      <c r="B34" s="249" t="s">
        <v>75</v>
      </c>
      <c r="C34" s="250"/>
      <c r="D34" s="250"/>
      <c r="E34" s="250"/>
      <c r="F34" s="250"/>
      <c r="G34" s="250"/>
      <c r="H34" s="250"/>
      <c r="I34" s="250"/>
      <c r="J34" s="250"/>
      <c r="K34" s="250"/>
      <c r="L34" s="131"/>
      <c r="M34" s="131"/>
      <c r="N34" s="131"/>
      <c r="O34" s="131"/>
      <c r="P34" s="131"/>
      <c r="Q34" s="131"/>
    </row>
    <row r="35" spans="1:17">
      <c r="A35" s="1"/>
      <c r="B35" s="11"/>
      <c r="C35" s="5"/>
      <c r="D35" s="5"/>
      <c r="E35" s="10"/>
      <c r="F35" s="13"/>
      <c r="G35" s="13"/>
      <c r="H35" s="1"/>
      <c r="I35" s="1"/>
      <c r="J35" s="1" t="s">
        <v>61</v>
      </c>
      <c r="K35" s="1"/>
      <c r="L35" s="1"/>
      <c r="M35" s="1"/>
      <c r="N35" s="1"/>
      <c r="O35" s="1"/>
      <c r="P35" s="1"/>
      <c r="Q35" s="1"/>
    </row>
    <row r="36" spans="1:17">
      <c r="B36" t="s">
        <v>60</v>
      </c>
    </row>
  </sheetData>
  <mergeCells count="11">
    <mergeCell ref="A1:Q1"/>
    <mergeCell ref="D2:K2"/>
    <mergeCell ref="N3:O3"/>
    <mergeCell ref="F5:J5"/>
    <mergeCell ref="A10:M10"/>
    <mergeCell ref="B34:K34"/>
    <mergeCell ref="A13:M13"/>
    <mergeCell ref="A19:M19"/>
    <mergeCell ref="A25:M25"/>
    <mergeCell ref="A28:F28"/>
    <mergeCell ref="B31:K31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36"/>
  <sheetViews>
    <sheetView view="pageBreakPreview" zoomScale="60" workbookViewId="0">
      <selection activeCell="N17" sqref="N17"/>
    </sheetView>
  </sheetViews>
  <sheetFormatPr defaultRowHeight="12.75"/>
  <cols>
    <col min="2" max="2" width="13.7109375" customWidth="1"/>
    <col min="3" max="4" width="11.5703125" customWidth="1"/>
    <col min="5" max="5" width="15.140625" customWidth="1"/>
    <col min="6" max="6" width="15.7109375" customWidth="1"/>
    <col min="8" max="8" width="18.5703125" customWidth="1"/>
    <col min="9" max="9" width="19.42578125" customWidth="1"/>
    <col min="10" max="10" width="16.42578125" customWidth="1"/>
    <col min="11" max="11" width="15.85546875" customWidth="1"/>
    <col min="13" max="13" width="14.140625" customWidth="1"/>
    <col min="14" max="14" width="14.42578125" customWidth="1"/>
    <col min="15" max="15" width="14.140625" customWidth="1"/>
    <col min="16" max="16" width="14.42578125" customWidth="1"/>
    <col min="17" max="17" width="17.42578125" customWidth="1"/>
  </cols>
  <sheetData>
    <row r="1" spans="1:17" ht="18">
      <c r="A1" s="223" t="s">
        <v>44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64"/>
      <c r="P1" s="264"/>
      <c r="Q1" s="264"/>
    </row>
    <row r="2" spans="1:17" ht="18.75">
      <c r="A2" s="131"/>
      <c r="B2" s="132"/>
      <c r="C2" s="132"/>
      <c r="D2" s="265" t="s">
        <v>82</v>
      </c>
      <c r="E2" s="266"/>
      <c r="F2" s="266"/>
      <c r="G2" s="266"/>
      <c r="H2" s="266"/>
      <c r="I2" s="266"/>
      <c r="J2" s="266"/>
      <c r="K2" s="266"/>
      <c r="L2" s="131"/>
      <c r="M2" s="131"/>
      <c r="N2" s="131"/>
      <c r="O2" s="131"/>
      <c r="P2" s="131"/>
      <c r="Q2" s="131"/>
    </row>
    <row r="3" spans="1:17" ht="18.75">
      <c r="A3" s="131"/>
      <c r="B3" s="133"/>
      <c r="C3" s="134"/>
      <c r="D3" s="134"/>
      <c r="E3" s="134"/>
      <c r="F3" s="73"/>
      <c r="G3" s="135"/>
      <c r="H3" s="135"/>
      <c r="I3" s="135"/>
      <c r="J3" s="135"/>
      <c r="K3" s="135"/>
      <c r="L3" s="135"/>
      <c r="M3" s="135"/>
      <c r="N3" s="267" t="s">
        <v>22</v>
      </c>
      <c r="O3" s="267"/>
      <c r="P3" s="135"/>
      <c r="Q3" s="135"/>
    </row>
    <row r="4" spans="1:17" ht="18.75">
      <c r="A4" s="131"/>
      <c r="B4" s="136"/>
      <c r="C4" s="134"/>
      <c r="D4" s="134"/>
      <c r="E4" s="137"/>
      <c r="F4" s="138"/>
      <c r="G4" s="138"/>
      <c r="H4" s="131"/>
      <c r="I4" s="131"/>
      <c r="J4" s="131"/>
      <c r="K4" s="131"/>
      <c r="L4" s="131"/>
      <c r="M4" s="131"/>
      <c r="N4" s="131"/>
      <c r="O4" s="131"/>
      <c r="P4" s="131"/>
      <c r="Q4" s="131"/>
    </row>
    <row r="5" spans="1:17" ht="18.75">
      <c r="A5" s="131"/>
      <c r="B5" s="136"/>
      <c r="C5" s="134"/>
      <c r="D5" s="134"/>
      <c r="E5" s="137"/>
      <c r="F5" s="268"/>
      <c r="G5" s="268"/>
      <c r="H5" s="268"/>
      <c r="I5" s="268"/>
      <c r="J5" s="268"/>
      <c r="K5" s="139"/>
      <c r="L5" s="131"/>
      <c r="M5" s="131"/>
      <c r="N5" s="131"/>
      <c r="O5" s="131"/>
      <c r="P5" s="131"/>
      <c r="Q5" s="131"/>
    </row>
    <row r="6" spans="1:17" ht="18.75">
      <c r="A6" s="131"/>
      <c r="B6" s="136"/>
      <c r="C6" s="134"/>
      <c r="D6" s="134"/>
      <c r="E6" s="137"/>
      <c r="F6" s="138"/>
      <c r="G6" s="138"/>
      <c r="H6" s="131"/>
      <c r="I6" s="131"/>
      <c r="J6" s="131"/>
      <c r="K6" s="131"/>
      <c r="L6" s="131"/>
      <c r="M6" s="131"/>
      <c r="N6" s="131"/>
      <c r="O6" s="131"/>
      <c r="P6" s="131"/>
      <c r="Q6" s="131"/>
    </row>
    <row r="7" spans="1:17" ht="18.75">
      <c r="A7" s="131"/>
      <c r="B7" s="136"/>
      <c r="C7" s="134"/>
      <c r="D7" s="134"/>
      <c r="E7" s="137"/>
      <c r="F7" s="138"/>
      <c r="G7" s="138"/>
      <c r="H7" s="131"/>
      <c r="I7" s="131"/>
      <c r="J7" s="131"/>
      <c r="K7" s="131"/>
      <c r="L7" s="131"/>
      <c r="M7" s="131"/>
      <c r="N7" s="131"/>
      <c r="O7" s="131"/>
      <c r="P7" s="131"/>
      <c r="Q7" s="131"/>
    </row>
    <row r="8" spans="1:17" ht="187.5">
      <c r="A8" s="140" t="s">
        <v>4</v>
      </c>
      <c r="B8" s="141" t="s">
        <v>5</v>
      </c>
      <c r="C8" s="141" t="s">
        <v>6</v>
      </c>
      <c r="D8" s="142" t="s">
        <v>0</v>
      </c>
      <c r="E8" s="141" t="s">
        <v>1</v>
      </c>
      <c r="F8" s="142" t="s">
        <v>2</v>
      </c>
      <c r="G8" s="141" t="s">
        <v>7</v>
      </c>
      <c r="H8" s="142" t="s">
        <v>10</v>
      </c>
      <c r="I8" s="141" t="s">
        <v>8</v>
      </c>
      <c r="J8" s="143" t="s">
        <v>9</v>
      </c>
      <c r="K8" s="141" t="s">
        <v>18</v>
      </c>
      <c r="L8" s="141" t="s">
        <v>3</v>
      </c>
      <c r="M8" s="141" t="s">
        <v>11</v>
      </c>
      <c r="N8" s="141" t="s">
        <v>13</v>
      </c>
      <c r="O8" s="141" t="s">
        <v>14</v>
      </c>
      <c r="P8" s="141" t="s">
        <v>12</v>
      </c>
      <c r="Q8" s="141" t="s">
        <v>16</v>
      </c>
    </row>
    <row r="9" spans="1:17" ht="18.75">
      <c r="A9" s="141">
        <v>1</v>
      </c>
      <c r="B9" s="142">
        <v>2</v>
      </c>
      <c r="C9" s="141">
        <v>3</v>
      </c>
      <c r="D9" s="142">
        <v>4</v>
      </c>
      <c r="E9" s="141">
        <v>5</v>
      </c>
      <c r="F9" s="142">
        <v>6</v>
      </c>
      <c r="G9" s="141">
        <v>7</v>
      </c>
      <c r="H9" s="142">
        <v>8</v>
      </c>
      <c r="I9" s="141">
        <v>9</v>
      </c>
      <c r="J9" s="142">
        <v>10</v>
      </c>
      <c r="K9" s="142">
        <v>11</v>
      </c>
      <c r="L9" s="141">
        <v>12</v>
      </c>
      <c r="M9" s="142">
        <v>13</v>
      </c>
      <c r="N9" s="141">
        <v>14</v>
      </c>
      <c r="O9" s="142">
        <v>15</v>
      </c>
      <c r="P9" s="141">
        <v>16</v>
      </c>
      <c r="Q9" s="143">
        <v>17</v>
      </c>
    </row>
    <row r="10" spans="1:17" ht="18.75">
      <c r="A10" s="253" t="s">
        <v>19</v>
      </c>
      <c r="B10" s="269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145"/>
      <c r="O10" s="145"/>
      <c r="P10" s="145"/>
      <c r="Q10" s="146"/>
    </row>
    <row r="11" spans="1:17" ht="19.5">
      <c r="A11" s="147"/>
      <c r="B11" s="148"/>
      <c r="C11" s="149"/>
      <c r="D11" s="150"/>
      <c r="E11" s="141"/>
      <c r="F11" s="151"/>
      <c r="G11" s="152"/>
      <c r="H11" s="153"/>
      <c r="I11" s="154"/>
      <c r="J11" s="155"/>
      <c r="K11" s="154"/>
      <c r="L11" s="154"/>
      <c r="M11" s="154"/>
      <c r="N11" s="154"/>
      <c r="O11" s="154"/>
      <c r="P11" s="154"/>
      <c r="Q11" s="154"/>
    </row>
    <row r="12" spans="1:17" ht="19.5">
      <c r="A12" s="156" t="s">
        <v>15</v>
      </c>
      <c r="B12" s="157"/>
      <c r="C12" s="149"/>
      <c r="D12" s="150"/>
      <c r="E12" s="141"/>
      <c r="F12" s="151"/>
      <c r="G12" s="152"/>
      <c r="H12" s="153"/>
      <c r="I12" s="154"/>
      <c r="J12" s="155"/>
      <c r="K12" s="154"/>
      <c r="L12" s="154"/>
      <c r="M12" s="154"/>
      <c r="N12" s="154"/>
      <c r="O12" s="154"/>
      <c r="P12" s="154"/>
      <c r="Q12" s="154"/>
    </row>
    <row r="13" spans="1:17" ht="18.75">
      <c r="A13" s="251" t="s">
        <v>20</v>
      </c>
      <c r="B13" s="252"/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158"/>
      <c r="O13" s="158"/>
      <c r="P13" s="158"/>
      <c r="Q13" s="159"/>
    </row>
    <row r="14" spans="1:17" ht="19.5">
      <c r="A14" s="147"/>
      <c r="B14" s="148"/>
      <c r="C14" s="149"/>
      <c r="D14" s="150"/>
      <c r="E14" s="160"/>
      <c r="F14" s="161"/>
      <c r="G14" s="162"/>
      <c r="H14" s="154"/>
      <c r="I14" s="154"/>
      <c r="J14" s="154"/>
      <c r="K14" s="154"/>
      <c r="L14" s="163"/>
      <c r="M14" s="164"/>
      <c r="N14" s="164"/>
      <c r="O14" s="164"/>
      <c r="P14" s="160"/>
      <c r="Q14" s="164"/>
    </row>
    <row r="15" spans="1:17" ht="156">
      <c r="A15" s="147">
        <v>2</v>
      </c>
      <c r="B15" s="148" t="s">
        <v>24</v>
      </c>
      <c r="C15" s="149" t="s">
        <v>48</v>
      </c>
      <c r="D15" s="150" t="s">
        <v>32</v>
      </c>
      <c r="E15" s="160">
        <v>780000</v>
      </c>
      <c r="F15" s="161">
        <v>42389</v>
      </c>
      <c r="G15" s="165" t="s">
        <v>43</v>
      </c>
      <c r="H15" s="154">
        <v>417000</v>
      </c>
      <c r="I15" s="154"/>
      <c r="J15" s="154">
        <f>33000+33000+33000+8154+24846+33000</f>
        <v>165000</v>
      </c>
      <c r="K15" s="154">
        <f>H15-J15+I15</f>
        <v>252000</v>
      </c>
      <c r="L15" s="164">
        <v>2.75</v>
      </c>
      <c r="M15" s="164">
        <v>998.52</v>
      </c>
      <c r="N15" s="164">
        <f>959.03+802.62+111.38+782.58+710.35+1218.75+724.79</f>
        <v>5309.5</v>
      </c>
      <c r="O15" s="164">
        <f>998.52+959.03+914+782.58+710.35+1218.75</f>
        <v>5583.2300000000005</v>
      </c>
      <c r="P15" s="164">
        <f>N15-O15+M15</f>
        <v>724.78999999999951</v>
      </c>
      <c r="Q15" s="164">
        <f>K15+P15</f>
        <v>252724.79</v>
      </c>
    </row>
    <row r="16" spans="1:17" ht="156">
      <c r="A16" s="147">
        <v>3</v>
      </c>
      <c r="B16" s="148" t="s">
        <v>24</v>
      </c>
      <c r="C16" s="149" t="s">
        <v>59</v>
      </c>
      <c r="D16" s="150" t="s">
        <v>32</v>
      </c>
      <c r="E16" s="160">
        <v>500000</v>
      </c>
      <c r="F16" s="161">
        <v>42819</v>
      </c>
      <c r="G16" s="165" t="s">
        <v>43</v>
      </c>
      <c r="H16" s="154">
        <v>374000</v>
      </c>
      <c r="I16" s="154"/>
      <c r="J16" s="154">
        <f>14000+14000+14000+8513+5487+14000</f>
        <v>70000</v>
      </c>
      <c r="K16" s="154">
        <f>H16-J16+I16</f>
        <v>304000</v>
      </c>
      <c r="L16" s="164">
        <v>2.75</v>
      </c>
      <c r="M16" s="164">
        <v>890.7</v>
      </c>
      <c r="N16" s="164">
        <f>867.19+756.29+57.75+780.7+734.14+1133.48+623.38</f>
        <v>4952.93</v>
      </c>
      <c r="O16" s="164">
        <f>890.7+867.19+814.04+780.7+734.14+1133.48</f>
        <v>5220.25</v>
      </c>
      <c r="P16" s="164">
        <f>N16-O16+M16</f>
        <v>623.38000000000034</v>
      </c>
      <c r="Q16" s="164">
        <f>K16+P16</f>
        <v>304623.38</v>
      </c>
    </row>
    <row r="17" spans="1:17" ht="19.5">
      <c r="A17" s="168"/>
      <c r="B17" s="166"/>
      <c r="C17" s="149"/>
      <c r="D17" s="150"/>
      <c r="E17" s="160"/>
      <c r="F17" s="161"/>
      <c r="G17" s="167"/>
      <c r="H17" s="154"/>
      <c r="I17" s="154"/>
      <c r="J17" s="154"/>
      <c r="K17" s="154">
        <f>I17-J17</f>
        <v>0</v>
      </c>
      <c r="L17" s="163"/>
      <c r="M17" s="164"/>
      <c r="N17" s="164"/>
      <c r="O17" s="164"/>
      <c r="P17" s="164"/>
      <c r="Q17" s="164"/>
    </row>
    <row r="18" spans="1:17" ht="18.75">
      <c r="A18" s="156" t="s">
        <v>15</v>
      </c>
      <c r="B18" s="157"/>
      <c r="C18" s="149"/>
      <c r="D18" s="150"/>
      <c r="E18" s="160">
        <f>E15+E16</f>
        <v>1280000</v>
      </c>
      <c r="F18" s="160"/>
      <c r="G18" s="160"/>
      <c r="H18" s="160">
        <f t="shared" ref="H18:Q18" si="0">H15+H16</f>
        <v>791000</v>
      </c>
      <c r="I18" s="160"/>
      <c r="J18" s="160">
        <f t="shared" si="0"/>
        <v>235000</v>
      </c>
      <c r="K18" s="160">
        <f t="shared" si="0"/>
        <v>556000</v>
      </c>
      <c r="L18" s="160"/>
      <c r="M18" s="160">
        <f t="shared" si="0"/>
        <v>1889.22</v>
      </c>
      <c r="N18" s="160">
        <f t="shared" si="0"/>
        <v>10262.43</v>
      </c>
      <c r="O18" s="160">
        <f t="shared" si="0"/>
        <v>10803.48</v>
      </c>
      <c r="P18" s="160">
        <f t="shared" si="0"/>
        <v>1348.1699999999998</v>
      </c>
      <c r="Q18" s="160">
        <f t="shared" si="0"/>
        <v>557348.17000000004</v>
      </c>
    </row>
    <row r="19" spans="1:17" ht="18.75">
      <c r="A19" s="253" t="s">
        <v>21</v>
      </c>
      <c r="B19" s="254"/>
      <c r="C19" s="254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131"/>
      <c r="O19" s="131"/>
      <c r="P19" s="131"/>
      <c r="Q19" s="170"/>
    </row>
    <row r="20" spans="1:17" ht="18.75">
      <c r="A20" s="144"/>
      <c r="B20" s="169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31"/>
      <c r="O20" s="131"/>
      <c r="P20" s="131"/>
      <c r="Q20" s="170"/>
    </row>
    <row r="21" spans="1:17" ht="20.25" thickBot="1">
      <c r="A21" s="171"/>
      <c r="B21" s="148"/>
      <c r="C21" s="149"/>
      <c r="D21" s="150"/>
      <c r="E21" s="141"/>
      <c r="F21" s="161"/>
      <c r="G21" s="152"/>
      <c r="H21" s="153"/>
      <c r="I21" s="154"/>
      <c r="J21" s="172"/>
      <c r="K21" s="164"/>
      <c r="L21" s="154"/>
      <c r="M21" s="154"/>
      <c r="N21" s="164"/>
      <c r="O21" s="164"/>
      <c r="P21" s="160"/>
      <c r="Q21" s="164"/>
    </row>
    <row r="22" spans="1:17" ht="19.5">
      <c r="A22" s="173"/>
      <c r="B22" s="148"/>
      <c r="C22" s="149"/>
      <c r="D22" s="150"/>
      <c r="E22" s="141"/>
      <c r="F22" s="161"/>
      <c r="G22" s="152"/>
      <c r="H22" s="153"/>
      <c r="I22" s="154"/>
      <c r="J22" s="172"/>
      <c r="K22" s="154"/>
      <c r="L22" s="154"/>
      <c r="M22" s="154"/>
      <c r="N22" s="164"/>
      <c r="O22" s="164"/>
      <c r="P22" s="160"/>
      <c r="Q22" s="164"/>
    </row>
    <row r="23" spans="1:17" ht="19.5">
      <c r="A23" s="147"/>
      <c r="B23" s="148"/>
      <c r="C23" s="149"/>
      <c r="D23" s="150"/>
      <c r="E23" s="141"/>
      <c r="F23" s="161"/>
      <c r="G23" s="152"/>
      <c r="H23" s="153"/>
      <c r="I23" s="154"/>
      <c r="J23" s="172"/>
      <c r="K23" s="154"/>
      <c r="L23" s="164"/>
      <c r="M23" s="154"/>
      <c r="N23" s="164"/>
      <c r="O23" s="164"/>
      <c r="P23" s="160"/>
      <c r="Q23" s="164"/>
    </row>
    <row r="24" spans="1:17" ht="19.5">
      <c r="A24" s="174" t="s">
        <v>15</v>
      </c>
      <c r="B24" s="157"/>
      <c r="C24" s="149"/>
      <c r="D24" s="150"/>
      <c r="E24" s="141">
        <f>E21+E22+E23</f>
        <v>0</v>
      </c>
      <c r="F24" s="151"/>
      <c r="G24" s="152"/>
      <c r="H24" s="154">
        <f>H21+H22+H23</f>
        <v>0</v>
      </c>
      <c r="I24" s="154">
        <f t="shared" ref="I24:N24" si="1">I21+I22+I23</f>
        <v>0</v>
      </c>
      <c r="J24" s="154">
        <f t="shared" si="1"/>
        <v>0</v>
      </c>
      <c r="K24" s="154">
        <f t="shared" si="1"/>
        <v>0</v>
      </c>
      <c r="L24" s="154"/>
      <c r="M24" s="154">
        <f t="shared" si="1"/>
        <v>0</v>
      </c>
      <c r="N24" s="164">
        <f t="shared" si="1"/>
        <v>0</v>
      </c>
      <c r="O24" s="164">
        <f>O21+O22+O23</f>
        <v>0</v>
      </c>
      <c r="P24" s="154">
        <f>P21+P22+P23</f>
        <v>0</v>
      </c>
      <c r="Q24" s="154">
        <f>Q21+Q22+Q23</f>
        <v>0</v>
      </c>
    </row>
    <row r="25" spans="1:17" ht="18.75">
      <c r="A25" s="253"/>
      <c r="B25" s="255"/>
      <c r="C25" s="255"/>
      <c r="D25" s="255"/>
      <c r="E25" s="255"/>
      <c r="F25" s="255"/>
      <c r="G25" s="255"/>
      <c r="H25" s="255"/>
      <c r="I25" s="255"/>
      <c r="J25" s="255"/>
      <c r="K25" s="255"/>
      <c r="L25" s="255"/>
      <c r="M25" s="255"/>
      <c r="N25" s="131"/>
      <c r="O25" s="131"/>
      <c r="P25" s="131"/>
      <c r="Q25" s="170"/>
    </row>
    <row r="26" spans="1:17" ht="19.5">
      <c r="A26" s="147"/>
      <c r="B26" s="148"/>
      <c r="C26" s="149"/>
      <c r="D26" s="150"/>
      <c r="E26" s="141"/>
      <c r="F26" s="151"/>
      <c r="G26" s="152"/>
      <c r="H26" s="153"/>
      <c r="I26" s="154"/>
      <c r="J26" s="155"/>
      <c r="K26" s="154"/>
      <c r="L26" s="154"/>
      <c r="M26" s="154"/>
      <c r="N26" s="154"/>
      <c r="O26" s="154"/>
      <c r="P26" s="154"/>
      <c r="Q26" s="154"/>
    </row>
    <row r="27" spans="1:17" ht="19.5">
      <c r="A27" s="156" t="s">
        <v>15</v>
      </c>
      <c r="B27" s="157"/>
      <c r="C27" s="149">
        <v>0</v>
      </c>
      <c r="D27" s="150"/>
      <c r="E27" s="141"/>
      <c r="F27" s="151"/>
      <c r="G27" s="152"/>
      <c r="H27" s="153"/>
      <c r="I27" s="154"/>
      <c r="J27" s="155"/>
      <c r="K27" s="154"/>
      <c r="L27" s="154"/>
      <c r="M27" s="154"/>
      <c r="N27" s="154"/>
      <c r="O27" s="154"/>
      <c r="P27" s="154"/>
      <c r="Q27" s="154"/>
    </row>
    <row r="28" spans="1:17" ht="18.75">
      <c r="A28" s="256" t="s">
        <v>17</v>
      </c>
      <c r="B28" s="257"/>
      <c r="C28" s="258"/>
      <c r="D28" s="258"/>
      <c r="E28" s="258"/>
      <c r="F28" s="259"/>
      <c r="G28" s="175"/>
      <c r="H28" s="176">
        <f>H18+H24</f>
        <v>791000</v>
      </c>
      <c r="I28" s="176">
        <f>I18+I24</f>
        <v>0</v>
      </c>
      <c r="J28" s="177">
        <f>J18+J24</f>
        <v>235000</v>
      </c>
      <c r="K28" s="177">
        <f>K18+K24</f>
        <v>556000</v>
      </c>
      <c r="L28" s="58"/>
      <c r="M28" s="177">
        <f>M18+M24</f>
        <v>1889.22</v>
      </c>
      <c r="N28" s="177">
        <f>N18+N24</f>
        <v>10262.43</v>
      </c>
      <c r="O28" s="177">
        <f>O18+O24</f>
        <v>10803.48</v>
      </c>
      <c r="P28" s="177">
        <f>P18+P24</f>
        <v>1348.1699999999998</v>
      </c>
      <c r="Q28" s="177">
        <f>Q18+Q24</f>
        <v>557348.17000000004</v>
      </c>
    </row>
    <row r="29" spans="1:17" ht="18.75">
      <c r="A29" s="178"/>
      <c r="B29" s="179"/>
      <c r="C29" s="180"/>
      <c r="D29" s="180"/>
      <c r="E29" s="181"/>
      <c r="F29" s="182"/>
      <c r="G29" s="182"/>
      <c r="H29" s="26"/>
      <c r="I29" s="27"/>
      <c r="J29" s="27"/>
      <c r="K29" s="26"/>
      <c r="L29" s="26"/>
      <c r="M29" s="26"/>
      <c r="N29" s="26"/>
      <c r="O29" s="26"/>
      <c r="P29" s="26"/>
      <c r="Q29" s="26"/>
    </row>
    <row r="30" spans="1:17" ht="18.75">
      <c r="A30" s="131"/>
      <c r="B30" s="136"/>
      <c r="C30" s="134"/>
      <c r="D30" s="134"/>
      <c r="E30" s="137"/>
      <c r="F30" s="138"/>
      <c r="G30" s="138"/>
      <c r="H30" s="131"/>
      <c r="I30" s="131"/>
      <c r="J30" s="131"/>
      <c r="K30" s="131"/>
      <c r="L30" s="131"/>
      <c r="M30" s="131"/>
      <c r="N30" s="183"/>
      <c r="O30" s="131"/>
      <c r="P30" s="131"/>
      <c r="Q30" s="131"/>
    </row>
    <row r="31" spans="1:17" ht="18.75">
      <c r="A31" s="131"/>
      <c r="B31" s="249" t="s">
        <v>62</v>
      </c>
      <c r="C31" s="260"/>
      <c r="D31" s="260"/>
      <c r="E31" s="261"/>
      <c r="F31" s="262"/>
      <c r="G31" s="262"/>
      <c r="H31" s="263"/>
      <c r="I31" s="250"/>
      <c r="J31" s="250"/>
      <c r="K31" s="250"/>
      <c r="L31" s="131"/>
      <c r="M31" s="131"/>
      <c r="N31" s="131"/>
      <c r="O31" s="131"/>
      <c r="P31" s="131"/>
      <c r="Q31" s="131"/>
    </row>
    <row r="32" spans="1:17" ht="18.75">
      <c r="A32" s="131"/>
      <c r="B32" s="136"/>
      <c r="C32" s="134"/>
      <c r="D32" s="134"/>
      <c r="E32" s="137"/>
      <c r="F32" s="138"/>
      <c r="G32" s="138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8.75">
      <c r="A33" s="131"/>
      <c r="B33" s="136"/>
      <c r="C33" s="134"/>
      <c r="D33" s="134"/>
      <c r="E33" s="137"/>
      <c r="F33" s="138"/>
      <c r="G33" s="138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8.75">
      <c r="A34" s="131"/>
      <c r="B34" s="249" t="s">
        <v>76</v>
      </c>
      <c r="C34" s="250"/>
      <c r="D34" s="250"/>
      <c r="E34" s="250"/>
      <c r="F34" s="250"/>
      <c r="G34" s="250"/>
      <c r="H34" s="250"/>
      <c r="I34" s="250"/>
      <c r="J34" s="250"/>
      <c r="K34" s="250"/>
      <c r="L34" s="131"/>
      <c r="M34" s="131"/>
      <c r="N34" s="131"/>
      <c r="O34" s="131"/>
      <c r="P34" s="131"/>
      <c r="Q34" s="131"/>
    </row>
    <row r="36" spans="1:17">
      <c r="B36" t="s">
        <v>60</v>
      </c>
      <c r="J36" t="s">
        <v>61</v>
      </c>
    </row>
  </sheetData>
  <mergeCells count="11">
    <mergeCell ref="A1:Q1"/>
    <mergeCell ref="D2:K2"/>
    <mergeCell ref="N3:O3"/>
    <mergeCell ref="F5:J5"/>
    <mergeCell ref="A10:M10"/>
    <mergeCell ref="B34:K34"/>
    <mergeCell ref="A13:M13"/>
    <mergeCell ref="A19:M19"/>
    <mergeCell ref="A25:M25"/>
    <mergeCell ref="A28:F28"/>
    <mergeCell ref="B31:K31"/>
  </mergeCells>
  <pageMargins left="0.7" right="0.7" top="0.75" bottom="0.75" header="0.3" footer="0.3"/>
  <pageSetup paperSize="9" scale="3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29"/>
  <sheetViews>
    <sheetView view="pageBreakPreview" zoomScale="60" zoomScaleNormal="100" workbookViewId="0">
      <selection activeCell="U21" sqref="U21"/>
    </sheetView>
  </sheetViews>
  <sheetFormatPr defaultRowHeight="12.75"/>
  <cols>
    <col min="1" max="1" width="9.28515625" bestFit="1" customWidth="1"/>
    <col min="2" max="2" width="0.140625" customWidth="1"/>
    <col min="3" max="3" width="0.28515625" hidden="1" customWidth="1"/>
    <col min="4" max="6" width="9.140625" hidden="1" customWidth="1"/>
    <col min="7" max="7" width="9.28515625" bestFit="1" customWidth="1"/>
    <col min="8" max="8" width="17.42578125" customWidth="1"/>
    <col min="9" max="9" width="9.28515625" bestFit="1" customWidth="1"/>
    <col min="10" max="10" width="13.85546875" customWidth="1"/>
    <col min="11" max="11" width="16.28515625" customWidth="1"/>
    <col min="12" max="12" width="9.28515625" bestFit="1" customWidth="1"/>
    <col min="13" max="13" width="14" customWidth="1"/>
    <col min="14" max="14" width="14.42578125" customWidth="1"/>
    <col min="15" max="15" width="14" customWidth="1"/>
    <col min="16" max="16" width="13.85546875" customWidth="1"/>
    <col min="17" max="17" width="16.85546875" customWidth="1"/>
  </cols>
  <sheetData>
    <row r="1" spans="1:17" ht="20.25">
      <c r="A1" s="241" t="s">
        <v>78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3"/>
      <c r="P1" s="243"/>
      <c r="Q1" s="243"/>
    </row>
    <row r="2" spans="1:17" ht="20.25">
      <c r="A2" s="75"/>
      <c r="B2" s="76"/>
      <c r="C2" s="76"/>
      <c r="D2" s="270" t="s">
        <v>81</v>
      </c>
      <c r="E2" s="271"/>
      <c r="F2" s="271"/>
      <c r="G2" s="271"/>
      <c r="H2" s="271"/>
      <c r="I2" s="271"/>
      <c r="J2" s="271"/>
      <c r="K2" s="271"/>
      <c r="L2" s="75"/>
      <c r="M2" s="75"/>
      <c r="N2" s="75"/>
      <c r="O2" s="75"/>
      <c r="P2" s="75"/>
      <c r="Q2" s="75"/>
    </row>
    <row r="3" spans="1:17" ht="20.25">
      <c r="A3" s="75"/>
      <c r="B3" s="77"/>
      <c r="C3" s="192"/>
      <c r="D3" s="192"/>
      <c r="E3" s="192"/>
      <c r="F3" s="195"/>
      <c r="G3" s="79"/>
      <c r="H3" s="79"/>
      <c r="I3" s="79"/>
      <c r="J3" s="79"/>
      <c r="K3" s="79"/>
      <c r="L3" s="79"/>
      <c r="M3" s="79"/>
      <c r="N3" s="246" t="s">
        <v>22</v>
      </c>
      <c r="O3" s="246"/>
      <c r="P3" s="79"/>
      <c r="Q3" s="79"/>
    </row>
    <row r="4" spans="1:17" ht="20.25">
      <c r="A4" s="75"/>
      <c r="B4" s="189"/>
      <c r="C4" s="192"/>
      <c r="D4" s="192"/>
      <c r="E4" s="193"/>
      <c r="F4" s="194"/>
      <c r="G4" s="194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ht="20.25">
      <c r="A5" s="75"/>
      <c r="B5" s="189"/>
      <c r="C5" s="192"/>
      <c r="D5" s="192"/>
      <c r="E5" s="193"/>
      <c r="F5" s="247"/>
      <c r="G5" s="247"/>
      <c r="H5" s="247"/>
      <c r="I5" s="247"/>
      <c r="J5" s="247"/>
      <c r="K5" s="196"/>
      <c r="L5" s="75"/>
      <c r="M5" s="75"/>
      <c r="N5" s="75"/>
      <c r="O5" s="75"/>
      <c r="P5" s="75"/>
      <c r="Q5" s="75"/>
    </row>
    <row r="6" spans="1:17" ht="20.25">
      <c r="A6" s="75"/>
      <c r="B6" s="189"/>
      <c r="C6" s="192"/>
      <c r="D6" s="192"/>
      <c r="E6" s="193"/>
      <c r="F6" s="194"/>
      <c r="G6" s="194"/>
      <c r="H6" s="75"/>
      <c r="I6" s="75"/>
      <c r="J6" s="75"/>
      <c r="K6" s="75"/>
      <c r="L6" s="75"/>
      <c r="M6" s="75"/>
      <c r="N6" s="75"/>
      <c r="O6" s="75"/>
      <c r="P6" s="75"/>
      <c r="Q6" s="75"/>
    </row>
    <row r="7" spans="1:17" ht="20.25">
      <c r="A7" s="75"/>
      <c r="B7" s="189"/>
      <c r="C7" s="192"/>
      <c r="D7" s="192"/>
      <c r="E7" s="193"/>
      <c r="F7" s="194"/>
      <c r="G7" s="194"/>
      <c r="H7" s="75"/>
      <c r="I7" s="75"/>
      <c r="J7" s="75"/>
      <c r="K7" s="75"/>
      <c r="L7" s="75"/>
      <c r="M7" s="75"/>
      <c r="N7" s="75"/>
      <c r="O7" s="75"/>
      <c r="P7" s="75"/>
      <c r="Q7" s="75"/>
    </row>
    <row r="8" spans="1:17" ht="147" customHeight="1">
      <c r="A8" s="84" t="s">
        <v>4</v>
      </c>
      <c r="B8" s="85" t="s">
        <v>5</v>
      </c>
      <c r="C8" s="85" t="s">
        <v>6</v>
      </c>
      <c r="D8" s="86" t="s">
        <v>0</v>
      </c>
      <c r="E8" s="85" t="s">
        <v>1</v>
      </c>
      <c r="F8" s="86" t="s">
        <v>2</v>
      </c>
      <c r="G8" s="85" t="s">
        <v>7</v>
      </c>
      <c r="H8" s="86" t="s">
        <v>10</v>
      </c>
      <c r="I8" s="85" t="s">
        <v>8</v>
      </c>
      <c r="J8" s="87" t="s">
        <v>9</v>
      </c>
      <c r="K8" s="85" t="s">
        <v>18</v>
      </c>
      <c r="L8" s="85" t="s">
        <v>3</v>
      </c>
      <c r="M8" s="85" t="s">
        <v>11</v>
      </c>
      <c r="N8" s="85" t="s">
        <v>13</v>
      </c>
      <c r="O8" s="85" t="s">
        <v>14</v>
      </c>
      <c r="P8" s="85" t="s">
        <v>12</v>
      </c>
      <c r="Q8" s="85" t="s">
        <v>16</v>
      </c>
    </row>
    <row r="9" spans="1:17" ht="20.25">
      <c r="A9" s="85">
        <v>1</v>
      </c>
      <c r="B9" s="86">
        <v>2</v>
      </c>
      <c r="C9" s="85">
        <v>3</v>
      </c>
      <c r="D9" s="86">
        <v>4</v>
      </c>
      <c r="E9" s="85">
        <v>5</v>
      </c>
      <c r="F9" s="86">
        <v>6</v>
      </c>
      <c r="G9" s="85">
        <v>7</v>
      </c>
      <c r="H9" s="86">
        <v>8</v>
      </c>
      <c r="I9" s="85">
        <v>9</v>
      </c>
      <c r="J9" s="86">
        <v>10</v>
      </c>
      <c r="K9" s="86">
        <v>11</v>
      </c>
      <c r="L9" s="85">
        <v>12</v>
      </c>
      <c r="M9" s="86">
        <v>13</v>
      </c>
      <c r="N9" s="85">
        <v>14</v>
      </c>
      <c r="O9" s="86">
        <v>15</v>
      </c>
      <c r="P9" s="85">
        <v>16</v>
      </c>
      <c r="Q9" s="87">
        <v>17</v>
      </c>
    </row>
    <row r="10" spans="1:17" ht="20.25">
      <c r="A10" s="230" t="s">
        <v>19</v>
      </c>
      <c r="B10" s="248"/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89"/>
      <c r="O10" s="89"/>
      <c r="P10" s="89"/>
      <c r="Q10" s="90"/>
    </row>
    <row r="11" spans="1:17" ht="20.25">
      <c r="A11" s="91"/>
      <c r="B11" s="92"/>
      <c r="C11" s="93"/>
      <c r="D11" s="94"/>
      <c r="E11" s="85"/>
      <c r="F11" s="95"/>
      <c r="G11" s="96"/>
      <c r="H11" s="97"/>
      <c r="I11" s="98"/>
      <c r="J11" s="99"/>
      <c r="K11" s="98"/>
      <c r="L11" s="98"/>
      <c r="M11" s="98"/>
      <c r="N11" s="98"/>
      <c r="O11" s="98"/>
      <c r="P11" s="98"/>
      <c r="Q11" s="98"/>
    </row>
    <row r="12" spans="1:17" ht="20.25">
      <c r="A12" s="100" t="s">
        <v>15</v>
      </c>
      <c r="B12" s="101"/>
      <c r="C12" s="93"/>
      <c r="D12" s="94"/>
      <c r="E12" s="85"/>
      <c r="F12" s="95"/>
      <c r="G12" s="96"/>
      <c r="H12" s="97"/>
      <c r="I12" s="98"/>
      <c r="J12" s="99"/>
      <c r="K12" s="98"/>
      <c r="L12" s="98"/>
      <c r="M12" s="98"/>
      <c r="N12" s="98"/>
      <c r="O12" s="98"/>
      <c r="P12" s="98"/>
      <c r="Q12" s="98"/>
    </row>
    <row r="13" spans="1:17" ht="20.25">
      <c r="A13" s="228" t="s">
        <v>20</v>
      </c>
      <c r="B13" s="229"/>
      <c r="C13" s="229"/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102"/>
      <c r="O13" s="102"/>
      <c r="P13" s="102"/>
      <c r="Q13" s="103"/>
    </row>
    <row r="14" spans="1:17" ht="20.25">
      <c r="A14" s="91"/>
      <c r="B14" s="92"/>
      <c r="C14" s="93"/>
      <c r="D14" s="94"/>
      <c r="E14" s="104"/>
      <c r="F14" s="105"/>
      <c r="G14" s="106"/>
      <c r="H14" s="98"/>
      <c r="I14" s="98"/>
      <c r="J14" s="98"/>
      <c r="K14" s="98"/>
      <c r="L14" s="107"/>
      <c r="M14" s="108"/>
      <c r="N14" s="108"/>
      <c r="O14" s="108"/>
      <c r="P14" s="104"/>
      <c r="Q14" s="108"/>
    </row>
    <row r="15" spans="1:17" ht="20.25">
      <c r="A15" s="91"/>
      <c r="B15" s="92"/>
      <c r="C15" s="93"/>
      <c r="D15" s="94"/>
      <c r="E15" s="104"/>
      <c r="F15" s="197"/>
      <c r="G15" s="109"/>
      <c r="H15" s="198"/>
      <c r="I15" s="199"/>
      <c r="J15" s="200"/>
      <c r="K15" s="98"/>
      <c r="L15" s="107"/>
      <c r="M15" s="108"/>
      <c r="N15" s="108"/>
      <c r="O15" s="108"/>
      <c r="P15" s="108"/>
      <c r="Q15" s="108"/>
    </row>
    <row r="16" spans="1:17" ht="146.25" customHeight="1">
      <c r="A16" s="91">
        <v>2</v>
      </c>
      <c r="B16" s="92" t="s">
        <v>24</v>
      </c>
      <c r="C16" s="93" t="s">
        <v>64</v>
      </c>
      <c r="D16" s="94" t="s">
        <v>32</v>
      </c>
      <c r="E16" s="104">
        <v>500000</v>
      </c>
      <c r="F16" s="105">
        <v>42819</v>
      </c>
      <c r="G16" s="109" t="s">
        <v>43</v>
      </c>
      <c r="H16" s="98">
        <f>Лист2!H18+Лист3!H29+Лист4!H28+Лист5!H28+Лист6!H28</f>
        <v>3114000</v>
      </c>
      <c r="I16" s="98">
        <f>Лист2!I18+Лист3!I29+Лист4!I28+Лист5!I28+Лист6!I28</f>
        <v>0</v>
      </c>
      <c r="J16" s="98">
        <f>Лист2!J18+Лист3!J29+Лист4!J28+Лист5!J28+Лист6!J28</f>
        <v>534000</v>
      </c>
      <c r="K16" s="98">
        <f>Лист2!K18+Лист3!K29+Лист4!K28+Лист5!K28+Лист6!K28</f>
        <v>2580000</v>
      </c>
      <c r="L16" s="98">
        <f>Лист2!L18+Лист3!L29+Лист4!L28+Лист5!L28+Лист6!L28</f>
        <v>0</v>
      </c>
      <c r="M16" s="108">
        <f>Лист2!M18+Лист3!M29+Лист4!M28+Лист5!M28+Лист6!M28</f>
        <v>20065.810000000001</v>
      </c>
      <c r="N16" s="108">
        <f>Лист2!N18+Лист3!N29+Лист4!N28+Лист5!N28+Лист6!N28</f>
        <v>46798.909999999996</v>
      </c>
      <c r="O16" s="108">
        <f>Лист2!O18+Лист3!O29+Лист4!O28+Лист5!O28+Лист6!O28</f>
        <v>31563.429999999997</v>
      </c>
      <c r="P16" s="108">
        <f>M16+N16-O16</f>
        <v>35301.290000000008</v>
      </c>
      <c r="Q16" s="108">
        <f>K16+P16</f>
        <v>2615301.29</v>
      </c>
    </row>
    <row r="17" spans="1:17" ht="20.25">
      <c r="A17" s="91"/>
      <c r="B17" s="110"/>
      <c r="C17" s="93"/>
      <c r="D17" s="94"/>
      <c r="E17" s="104"/>
      <c r="F17" s="105"/>
      <c r="G17" s="111"/>
      <c r="H17" s="98"/>
      <c r="I17" s="98"/>
      <c r="J17" s="98"/>
      <c r="K17" s="98"/>
      <c r="L17" s="107"/>
      <c r="M17" s="108"/>
      <c r="N17" s="108"/>
      <c r="O17" s="108"/>
      <c r="P17" s="108"/>
      <c r="Q17" s="108"/>
    </row>
    <row r="18" spans="1:17" ht="20.25">
      <c r="A18" s="112"/>
      <c r="B18" s="110"/>
      <c r="C18" s="93"/>
      <c r="D18" s="94"/>
      <c r="E18" s="104"/>
      <c r="F18" s="105"/>
      <c r="G18" s="111"/>
      <c r="H18" s="98"/>
      <c r="I18" s="98"/>
      <c r="J18" s="98"/>
      <c r="K18" s="98">
        <f>I18-J18</f>
        <v>0</v>
      </c>
      <c r="L18" s="107"/>
      <c r="M18" s="108"/>
      <c r="N18" s="108"/>
      <c r="O18" s="108"/>
      <c r="P18" s="108"/>
      <c r="Q18" s="98"/>
    </row>
    <row r="19" spans="1:17" ht="20.25">
      <c r="A19" s="100" t="s">
        <v>15</v>
      </c>
      <c r="B19" s="101"/>
      <c r="C19" s="93"/>
      <c r="D19" s="94"/>
      <c r="E19" s="104">
        <f>E16+E17+E18</f>
        <v>500000</v>
      </c>
      <c r="F19" s="104"/>
      <c r="G19" s="104"/>
      <c r="H19" s="104">
        <f t="shared" ref="H19:Q19" si="0">H16+H17+H18</f>
        <v>3114000</v>
      </c>
      <c r="I19" s="104">
        <f t="shared" si="0"/>
        <v>0</v>
      </c>
      <c r="J19" s="104">
        <f t="shared" si="0"/>
        <v>534000</v>
      </c>
      <c r="K19" s="104">
        <f t="shared" si="0"/>
        <v>2580000</v>
      </c>
      <c r="L19" s="104">
        <f t="shared" si="0"/>
        <v>0</v>
      </c>
      <c r="M19" s="104">
        <f t="shared" si="0"/>
        <v>20065.810000000001</v>
      </c>
      <c r="N19" s="104">
        <f t="shared" si="0"/>
        <v>46798.909999999996</v>
      </c>
      <c r="O19" s="104">
        <f t="shared" si="0"/>
        <v>31563.429999999997</v>
      </c>
      <c r="P19" s="104">
        <f t="shared" si="0"/>
        <v>35301.290000000008</v>
      </c>
      <c r="Q19" s="104">
        <f t="shared" si="0"/>
        <v>2615301.29</v>
      </c>
    </row>
    <row r="20" spans="1:17" ht="20.25">
      <c r="A20" s="230" t="s">
        <v>21</v>
      </c>
      <c r="B20" s="231"/>
      <c r="C20" s="231"/>
      <c r="D20" s="231"/>
      <c r="E20" s="231"/>
      <c r="F20" s="231"/>
      <c r="G20" s="231"/>
      <c r="H20" s="231"/>
      <c r="I20" s="231"/>
      <c r="J20" s="231"/>
      <c r="K20" s="231"/>
      <c r="L20" s="231"/>
      <c r="M20" s="231"/>
      <c r="N20" s="75"/>
      <c r="O20" s="75"/>
      <c r="P20" s="75"/>
      <c r="Q20" s="114"/>
    </row>
    <row r="21" spans="1:17" ht="20.25">
      <c r="A21" s="190"/>
      <c r="B21" s="191"/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75"/>
      <c r="O21" s="75"/>
      <c r="P21" s="75"/>
      <c r="Q21" s="114"/>
    </row>
    <row r="22" spans="1:17" ht="21" thickBot="1">
      <c r="A22" s="115"/>
      <c r="B22" s="92"/>
      <c r="C22" s="93"/>
      <c r="D22" s="94"/>
      <c r="E22" s="85"/>
      <c r="F22" s="105"/>
      <c r="G22" s="96"/>
      <c r="H22" s="97"/>
      <c r="I22" s="98"/>
      <c r="J22" s="116"/>
      <c r="K22" s="108"/>
      <c r="L22" s="98"/>
      <c r="M22" s="98"/>
      <c r="N22" s="108"/>
      <c r="O22" s="108"/>
      <c r="P22" s="104"/>
      <c r="Q22" s="108"/>
    </row>
    <row r="23" spans="1:17" ht="20.25">
      <c r="A23" s="117"/>
      <c r="B23" s="92"/>
      <c r="C23" s="93"/>
      <c r="D23" s="94"/>
      <c r="E23" s="85"/>
      <c r="F23" s="105"/>
      <c r="G23" s="96"/>
      <c r="H23" s="97"/>
      <c r="I23" s="98"/>
      <c r="J23" s="116"/>
      <c r="K23" s="98"/>
      <c r="L23" s="98"/>
      <c r="M23" s="98"/>
      <c r="N23" s="108"/>
      <c r="O23" s="108"/>
      <c r="P23" s="104"/>
      <c r="Q23" s="108"/>
    </row>
    <row r="24" spans="1:17" ht="20.25">
      <c r="A24" s="91"/>
      <c r="B24" s="92"/>
      <c r="C24" s="93"/>
      <c r="D24" s="94"/>
      <c r="E24" s="85"/>
      <c r="F24" s="105"/>
      <c r="G24" s="96"/>
      <c r="H24" s="97"/>
      <c r="I24" s="98"/>
      <c r="J24" s="116"/>
      <c r="K24" s="98"/>
      <c r="L24" s="108"/>
      <c r="M24" s="98"/>
      <c r="N24" s="108"/>
      <c r="O24" s="108"/>
      <c r="P24" s="104"/>
      <c r="Q24" s="108"/>
    </row>
    <row r="25" spans="1:17" ht="20.25">
      <c r="A25" s="118" t="s">
        <v>15</v>
      </c>
      <c r="B25" s="101"/>
      <c r="C25" s="93"/>
      <c r="D25" s="94"/>
      <c r="E25" s="85">
        <f>E22+E23+E24</f>
        <v>0</v>
      </c>
      <c r="F25" s="95"/>
      <c r="G25" s="96"/>
      <c r="H25" s="98">
        <f>H22+H23+H24</f>
        <v>0</v>
      </c>
      <c r="I25" s="98">
        <f t="shared" ref="I25:N25" si="1">I22+I23+I24</f>
        <v>0</v>
      </c>
      <c r="J25" s="98">
        <f t="shared" si="1"/>
        <v>0</v>
      </c>
      <c r="K25" s="98">
        <f t="shared" si="1"/>
        <v>0</v>
      </c>
      <c r="L25" s="98"/>
      <c r="M25" s="98">
        <f t="shared" si="1"/>
        <v>0</v>
      </c>
      <c r="N25" s="108">
        <f t="shared" si="1"/>
        <v>0</v>
      </c>
      <c r="O25" s="108">
        <f>O22+O23+O24</f>
        <v>0</v>
      </c>
      <c r="P25" s="98">
        <f>P22+P23+P24</f>
        <v>0</v>
      </c>
      <c r="Q25" s="98">
        <f>Q22+Q23+Q24</f>
        <v>0</v>
      </c>
    </row>
    <row r="26" spans="1:17" ht="20.25">
      <c r="A26" s="230"/>
      <c r="B26" s="232"/>
      <c r="C26" s="232"/>
      <c r="D26" s="232"/>
      <c r="E26" s="232"/>
      <c r="F26" s="232"/>
      <c r="G26" s="232"/>
      <c r="H26" s="232"/>
      <c r="I26" s="232"/>
      <c r="J26" s="232"/>
      <c r="K26" s="232"/>
      <c r="L26" s="232"/>
      <c r="M26" s="232"/>
      <c r="N26" s="75"/>
      <c r="O26" s="75"/>
      <c r="P26" s="75"/>
      <c r="Q26" s="114"/>
    </row>
    <row r="27" spans="1:17" ht="20.25">
      <c r="A27" s="91"/>
      <c r="B27" s="92"/>
      <c r="C27" s="93"/>
      <c r="D27" s="94"/>
      <c r="E27" s="85"/>
      <c r="F27" s="95"/>
      <c r="G27" s="96"/>
      <c r="H27" s="97"/>
      <c r="I27" s="98"/>
      <c r="J27" s="99"/>
      <c r="K27" s="98"/>
      <c r="L27" s="98"/>
      <c r="M27" s="98"/>
      <c r="N27" s="98"/>
      <c r="O27" s="98"/>
      <c r="P27" s="98"/>
      <c r="Q27" s="98"/>
    </row>
    <row r="28" spans="1:17" ht="20.25">
      <c r="A28" s="100" t="s">
        <v>15</v>
      </c>
      <c r="B28" s="101"/>
      <c r="C28" s="93">
        <v>0</v>
      </c>
      <c r="D28" s="94"/>
      <c r="E28" s="85"/>
      <c r="F28" s="95"/>
      <c r="G28" s="96"/>
      <c r="H28" s="97"/>
      <c r="I28" s="98"/>
      <c r="J28" s="99"/>
      <c r="K28" s="98"/>
      <c r="L28" s="98"/>
      <c r="M28" s="98"/>
      <c r="N28" s="98"/>
      <c r="O28" s="98"/>
      <c r="P28" s="98"/>
      <c r="Q28" s="98"/>
    </row>
    <row r="29" spans="1:17" ht="18.75">
      <c r="A29" s="211" t="s">
        <v>17</v>
      </c>
      <c r="B29" s="212"/>
      <c r="C29" s="213"/>
      <c r="D29" s="213"/>
      <c r="E29" s="213"/>
      <c r="F29" s="214"/>
      <c r="G29" s="23"/>
      <c r="H29" s="57">
        <f>H19+H25</f>
        <v>3114000</v>
      </c>
      <c r="I29" s="57">
        <f>I19+I25</f>
        <v>0</v>
      </c>
      <c r="J29" s="56">
        <f>J19+J25</f>
        <v>534000</v>
      </c>
      <c r="K29" s="56">
        <f>K19+K25</f>
        <v>2580000</v>
      </c>
      <c r="L29" s="58"/>
      <c r="M29" s="57"/>
      <c r="N29" s="56">
        <f>N19+N25</f>
        <v>46798.909999999996</v>
      </c>
      <c r="O29" s="56">
        <f>O19+O25</f>
        <v>31563.429999999997</v>
      </c>
      <c r="P29" s="56">
        <f>P19+P25</f>
        <v>35301.290000000008</v>
      </c>
      <c r="Q29" s="56">
        <f>Q19+Q25</f>
        <v>2615301.29</v>
      </c>
    </row>
  </sheetData>
  <mergeCells count="9">
    <mergeCell ref="A20:M20"/>
    <mergeCell ref="A26:M26"/>
    <mergeCell ref="A29:F29"/>
    <mergeCell ref="A1:Q1"/>
    <mergeCell ref="D2:K2"/>
    <mergeCell ref="N3:O3"/>
    <mergeCell ref="F5:J5"/>
    <mergeCell ref="A10:M10"/>
    <mergeCell ref="A13:M13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Лист3!Область_печати</vt:lpstr>
      <vt:lpstr>Лист4!Область_печати</vt:lpstr>
      <vt:lpstr>Лист5!Область_печати</vt:lpstr>
      <vt:lpstr>Лист6!Область_печати</vt:lpstr>
    </vt:vector>
  </TitlesOfParts>
  <Company>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deshkina</dc:creator>
  <cp:lastModifiedBy>user03</cp:lastModifiedBy>
  <cp:lastPrinted>2015-05-13T09:02:24Z</cp:lastPrinted>
  <dcterms:created xsi:type="dcterms:W3CDTF">2006-06-05T06:40:26Z</dcterms:created>
  <dcterms:modified xsi:type="dcterms:W3CDTF">2015-07-16T11:01:12Z</dcterms:modified>
</cp:coreProperties>
</file>