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Лист6!$A$1:$Q$43</definedName>
  </definedNames>
  <calcPr calcId="125725"/>
</workbook>
</file>

<file path=xl/calcChain.xml><?xml version="1.0" encoding="utf-8"?>
<calcChain xmlns="http://schemas.openxmlformats.org/spreadsheetml/2006/main">
  <c r="N43" i="1"/>
  <c r="N42"/>
  <c r="O43"/>
  <c r="O42"/>
  <c r="N34"/>
  <c r="N33"/>
  <c r="N32"/>
  <c r="N31"/>
  <c r="N29"/>
  <c r="N28"/>
  <c r="N27"/>
  <c r="N26"/>
  <c r="O15" i="4"/>
  <c r="N16" i="6" l="1"/>
  <c r="N15"/>
  <c r="N15" i="5"/>
  <c r="N15" i="4"/>
  <c r="N17" i="3"/>
  <c r="N16"/>
  <c r="N18" i="2"/>
  <c r="N17"/>
  <c r="N16"/>
  <c r="O16" i="6" l="1"/>
  <c r="O15"/>
  <c r="J16"/>
  <c r="J15"/>
  <c r="J15" i="4" l="1"/>
  <c r="J17" i="3"/>
  <c r="J16"/>
  <c r="O16" l="1"/>
  <c r="O17"/>
  <c r="J18" i="2"/>
  <c r="J17"/>
  <c r="O18" l="1"/>
  <c r="O17"/>
  <c r="O16"/>
  <c r="E44" i="1"/>
  <c r="O33"/>
  <c r="O32"/>
  <c r="O31"/>
  <c r="O29"/>
  <c r="O28"/>
  <c r="O27"/>
  <c r="O26"/>
  <c r="O41"/>
  <c r="N41"/>
  <c r="J27"/>
  <c r="J26"/>
  <c r="J41"/>
  <c r="O35" l="1"/>
  <c r="N35"/>
  <c r="P34"/>
  <c r="Q34" s="1"/>
  <c r="K34"/>
  <c r="E35"/>
  <c r="J19" i="2"/>
  <c r="J20" i="3" l="1"/>
  <c r="J33" i="1" l="1"/>
  <c r="O30" l="1"/>
  <c r="L20" i="3" l="1"/>
  <c r="M20"/>
  <c r="N20"/>
  <c r="O20"/>
  <c r="H19" i="2" l="1"/>
  <c r="P17" i="3"/>
  <c r="M19" i="2" l="1"/>
  <c r="M30" i="3"/>
  <c r="M35" i="1"/>
  <c r="H44"/>
  <c r="P31" l="1"/>
  <c r="P32"/>
  <c r="P33"/>
  <c r="O19" i="2"/>
  <c r="N19"/>
  <c r="I19" l="1"/>
  <c r="K18"/>
  <c r="K17" i="3"/>
  <c r="H20"/>
  <c r="E20"/>
  <c r="P18" i="2"/>
  <c r="Q17" i="3" l="1"/>
  <c r="Q18" i="2"/>
  <c r="O44" i="1" l="1"/>
  <c r="N44"/>
  <c r="H35"/>
  <c r="K33"/>
  <c r="Q33" s="1"/>
  <c r="K32"/>
  <c r="Q32" s="1"/>
  <c r="K31" l="1"/>
  <c r="Q31" s="1"/>
  <c r="P43"/>
  <c r="K43"/>
  <c r="I44"/>
  <c r="P29"/>
  <c r="P30"/>
  <c r="Q43" l="1"/>
  <c r="K29" l="1"/>
  <c r="Q29" s="1"/>
  <c r="K30"/>
  <c r="Q30" l="1"/>
  <c r="P42" l="1"/>
  <c r="K42"/>
  <c r="J35" l="1"/>
  <c r="Q42"/>
  <c r="P28"/>
  <c r="K28" l="1"/>
  <c r="Q28" l="1"/>
  <c r="J44" l="1"/>
  <c r="L16" i="7" l="1"/>
  <c r="L19" s="1"/>
  <c r="Q25"/>
  <c r="P25"/>
  <c r="O25"/>
  <c r="N25"/>
  <c r="M25"/>
  <c r="K25"/>
  <c r="J25"/>
  <c r="I25"/>
  <c r="H25"/>
  <c r="E25"/>
  <c r="E19"/>
  <c r="K18"/>
  <c r="H18" i="6" l="1"/>
  <c r="J18"/>
  <c r="M18"/>
  <c r="N18"/>
  <c r="O18"/>
  <c r="E18"/>
  <c r="H18" i="4" l="1"/>
  <c r="I18"/>
  <c r="J18"/>
  <c r="M18"/>
  <c r="M28" s="1"/>
  <c r="N18"/>
  <c r="O18"/>
  <c r="E18"/>
  <c r="E19" i="2"/>
  <c r="P41" i="1" l="1"/>
  <c r="P44" s="1"/>
  <c r="P27"/>
  <c r="K27" l="1"/>
  <c r="Q27" l="1"/>
  <c r="K41"/>
  <c r="Q41" l="1"/>
  <c r="K16" i="6" l="1"/>
  <c r="P16" i="2" l="1"/>
  <c r="L16" l="1"/>
  <c r="L17"/>
  <c r="P16" i="3"/>
  <c r="P20" s="1"/>
  <c r="K15" i="6" l="1"/>
  <c r="K18" s="1"/>
  <c r="J18" i="5" l="1"/>
  <c r="L18"/>
  <c r="M18"/>
  <c r="M28" s="1"/>
  <c r="N18"/>
  <c r="O18"/>
  <c r="E18"/>
  <c r="K17" i="2"/>
  <c r="M48" i="1"/>
  <c r="P16" i="6" l="1"/>
  <c r="P15" i="5"/>
  <c r="P18" s="1"/>
  <c r="K15"/>
  <c r="P15" i="4"/>
  <c r="P18" s="1"/>
  <c r="K15"/>
  <c r="K18" s="1"/>
  <c r="K16" i="3"/>
  <c r="K20" s="1"/>
  <c r="P17" i="2"/>
  <c r="P19" s="1"/>
  <c r="Q16" i="6" l="1"/>
  <c r="Q15" i="5"/>
  <c r="Q18" s="1"/>
  <c r="Q15" i="4"/>
  <c r="Q18" s="1"/>
  <c r="Q16" i="3"/>
  <c r="Q20" s="1"/>
  <c r="P26" i="1"/>
  <c r="P35" s="1"/>
  <c r="K26"/>
  <c r="K35" s="1"/>
  <c r="Q35" l="1"/>
  <c r="Q26"/>
  <c r="K44" l="1"/>
  <c r="Q44" l="1"/>
  <c r="P25"/>
  <c r="P15" i="6"/>
  <c r="Q15" l="1"/>
  <c r="Q18" s="1"/>
  <c r="P18"/>
  <c r="K25" i="1"/>
  <c r="Q25" s="1"/>
  <c r="P24" l="1"/>
  <c r="I48"/>
  <c r="K24"/>
  <c r="O29" i="2"/>
  <c r="K17" i="6"/>
  <c r="E24"/>
  <c r="H24"/>
  <c r="I24"/>
  <c r="J24"/>
  <c r="K24"/>
  <c r="M24"/>
  <c r="M28" s="1"/>
  <c r="M16" i="7" s="1"/>
  <c r="M19" s="1"/>
  <c r="M29" s="1"/>
  <c r="N24" i="6"/>
  <c r="O24"/>
  <c r="P24"/>
  <c r="Q24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I16" i="7" s="1"/>
  <c r="I19" s="1"/>
  <c r="I29" s="1"/>
  <c r="J26" i="3"/>
  <c r="J30" s="1"/>
  <c r="K26"/>
  <c r="M26"/>
  <c r="N26"/>
  <c r="O26"/>
  <c r="P26"/>
  <c r="Q26"/>
  <c r="K16" i="2"/>
  <c r="K19" s="1"/>
  <c r="Q17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P20"/>
  <c r="K23"/>
  <c r="K38"/>
  <c r="P38"/>
  <c r="N28" i="5"/>
  <c r="N28" i="4"/>
  <c r="N29" i="2"/>
  <c r="O28" i="5"/>
  <c r="H16" i="7" l="1"/>
  <c r="H19" s="1"/>
  <c r="H29" s="1"/>
  <c r="K48" i="1"/>
  <c r="I28" i="6"/>
  <c r="J28" i="4"/>
  <c r="O28"/>
  <c r="P28" s="1"/>
  <c r="O28" i="6"/>
  <c r="P28"/>
  <c r="H28" i="4"/>
  <c r="I28"/>
  <c r="K28"/>
  <c r="N28" i="6"/>
  <c r="K28"/>
  <c r="I28" i="5"/>
  <c r="N30" i="3"/>
  <c r="O30"/>
  <c r="K29" i="2"/>
  <c r="Q16"/>
  <c r="Q19" s="1"/>
  <c r="Q19" i="1"/>
  <c r="H48"/>
  <c r="Q20"/>
  <c r="Q16"/>
  <c r="Q38"/>
  <c r="K28" i="5"/>
  <c r="H28" i="6"/>
  <c r="J28"/>
  <c r="P29" i="2"/>
  <c r="Q24" i="1"/>
  <c r="P28" i="5"/>
  <c r="J28"/>
  <c r="P23" i="1"/>
  <c r="O48"/>
  <c r="J48"/>
  <c r="P30" i="3"/>
  <c r="Q30"/>
  <c r="N16" i="7" l="1"/>
  <c r="N19" s="1"/>
  <c r="N29" s="1"/>
  <c r="Q23" i="1"/>
  <c r="J16" i="7"/>
  <c r="J19" s="1"/>
  <c r="J29" s="1"/>
  <c r="K16"/>
  <c r="K19" s="1"/>
  <c r="K29" s="1"/>
  <c r="O16"/>
  <c r="O19" s="1"/>
  <c r="O29" s="1"/>
  <c r="Q28" i="4"/>
  <c r="Q29" i="2"/>
  <c r="Q28" i="6"/>
  <c r="Q28" i="5"/>
  <c r="N48" i="1"/>
  <c r="P16" i="7" l="1"/>
  <c r="P19" s="1"/>
  <c r="P29" s="1"/>
  <c r="P48" i="1"/>
  <c r="Q48"/>
  <c r="Q16" i="7" l="1"/>
  <c r="Q19" s="1"/>
  <c r="Q29" s="1"/>
</calcChain>
</file>

<file path=xl/sharedStrings.xml><?xml version="1.0" encoding="utf-8"?>
<sst xmlns="http://schemas.openxmlformats.org/spreadsheetml/2006/main" count="318" uniqueCount="93">
  <si>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</si>
  <si>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</si>
  <si>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</si>
  <si>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</si>
  <si>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</si>
  <si>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</si>
  <si>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</si>
  <si>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</si>
  <si>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</si>
  <si>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</si>
  <si>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</si>
  <si>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</si>
  <si>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</si>
  <si>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</si>
  <si>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</si>
  <si>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</si>
  <si>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</si>
  <si>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</si>
  <si>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</si>
  <si>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</si>
  <si>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</si>
  <si>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</si>
  <si>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</si>
  <si>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</si>
  <si>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</si>
  <si>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</si>
  <si>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</si>
  <si>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</si>
  <si>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</si>
  <si>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</si>
  <si>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</si>
  <si>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</si>
  <si>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</si>
  <si>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</si>
  <si>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</si>
  <si>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</si>
  <si>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</si>
  <si>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</si>
  <si>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</si>
  <si>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</si>
  <si>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</si>
  <si>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</si>
  <si>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</si>
  <si>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</si>
  <si>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</si>
  <si>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</si>
  <si>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</si>
  <si>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</si>
  <si>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</si>
  <si>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</si>
  <si>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</si>
  <si>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</si>
  <si>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</si>
  <si>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</si>
  <si>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</si>
  <si>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</si>
  <si>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</si>
  <si>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</si>
  <si>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</si>
  <si>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</si>
  <si>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</si>
  <si>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</si>
  <si>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</si>
  <si>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№4-АПМР от 25.12.2013</t>
  </si>
  <si>
    <t>Договор № 8-АПМР от 25.12.2013</t>
  </si>
  <si>
    <t>Договор №2-АПМР от 19.04.2013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</si>
  <si>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</si>
  <si>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</si>
  <si>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</si>
  <si>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</si>
  <si>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</si>
  <si>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</si>
  <si>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</si>
  <si>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</si>
  <si>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</si>
  <si>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</si>
  <si>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</si>
  <si>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</si>
  <si>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</si>
  <si>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Договор  N13-01/14 от  25.12.2014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</si>
  <si>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</si>
  <si>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</si>
  <si>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</si>
  <si>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</si>
  <si>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</si>
  <si>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</si>
  <si>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</si>
  <si>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по состоянию на 01 июня  2016 года</t>
  </si>
  <si>
    <t>Договор  N13-1/16 от  25.05.2016</t>
  </si>
  <si>
    <t>по состоянию на 01  июля 2016 года</t>
  </si>
  <si>
    <t>по состоянию на 01  июля   2016 года</t>
  </si>
  <si>
    <t>по состоянию на 01 июля 2016 года</t>
  </si>
  <si>
    <t>по состоянию на 01  июля  2016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</si>
</sst>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9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topLeftCell="E23" zoomScaleNormal="75" workbookViewId="0">
      <selection activeCell="N44" sqref="N44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.7109375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12.140625" style="1" customWidth="1"/>
    <col min="10" max="10" width="14.5703125" style="1" customWidth="1"/>
    <col min="11" max="11" width="18.42578125" style="1" customWidth="1"/>
    <col min="12" max="12" width="8" style="1" customWidth="1"/>
    <col min="13" max="13" width="11.2851562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14" t="s">
        <v>23</v>
      </c>
      <c r="M1" s="212"/>
      <c r="N1" s="212"/>
      <c r="O1" s="212"/>
      <c r="P1" s="212"/>
      <c r="Q1" s="212"/>
    </row>
    <row r="2" spans="1:17" ht="26.25" hidden="1" customHeight="1">
      <c r="L2" s="212"/>
      <c r="M2" s="212"/>
      <c r="N2" s="212"/>
      <c r="O2" s="212"/>
      <c r="P2" s="212"/>
      <c r="Q2" s="212"/>
    </row>
    <row r="3" spans="1:17" ht="21" customHeight="1">
      <c r="A3" s="229" t="s">
        <v>25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1"/>
      <c r="P3" s="231"/>
      <c r="Q3" s="231"/>
    </row>
    <row r="4" spans="1:17" ht="16.5" customHeight="1">
      <c r="B4" s="2"/>
      <c r="C4" s="2"/>
      <c r="D4" s="223" t="s">
        <v>89</v>
      </c>
      <c r="E4" s="224"/>
      <c r="F4" s="224"/>
      <c r="G4" s="224"/>
      <c r="H4" s="224"/>
      <c r="I4" s="224"/>
      <c r="J4" s="224"/>
      <c r="K4" s="224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1" t="s">
        <v>22</v>
      </c>
      <c r="O5" s="221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25"/>
      <c r="G7" s="225"/>
      <c r="H7" s="225"/>
      <c r="I7" s="225"/>
      <c r="J7" s="225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15" t="s">
        <v>19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26" t="s">
        <v>20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34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34" si="1">H20+I20-J20</f>
        <v>0</v>
      </c>
      <c r="L20" s="52"/>
      <c r="M20" s="50"/>
      <c r="N20" s="50"/>
      <c r="O20" s="50"/>
      <c r="P20" s="50">
        <f t="shared" ref="P20:P34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33" customHeight="1">
      <c r="A23" s="61"/>
      <c r="B23" s="62" t="s">
        <v>24</v>
      </c>
      <c r="C23" s="30" t="s">
        <v>42</v>
      </c>
      <c r="D23" s="31" t="s">
        <v>26</v>
      </c>
      <c r="E23" s="47">
        <v>3000000</v>
      </c>
      <c r="F23" s="48">
        <v>42333</v>
      </c>
      <c r="G23" s="51"/>
      <c r="H23" s="36">
        <v>0</v>
      </c>
      <c r="I23" s="36"/>
      <c r="J23" s="50">
        <v>0</v>
      </c>
      <c r="K23" s="36">
        <f t="shared" si="1"/>
        <v>0</v>
      </c>
      <c r="L23" s="183">
        <v>2.75</v>
      </c>
      <c r="M23" s="50">
        <v>-339.04</v>
      </c>
      <c r="N23" s="50"/>
      <c r="O23" s="50">
        <v>-339.04</v>
      </c>
      <c r="P23" s="50">
        <f t="shared" si="2"/>
        <v>0</v>
      </c>
      <c r="Q23" s="50">
        <f t="shared" si="0"/>
        <v>0</v>
      </c>
    </row>
    <row r="24" spans="1:17" s="3" customFormat="1" ht="26.25" hidden="1" customHeight="1">
      <c r="A24" s="61"/>
      <c r="B24" s="62" t="s">
        <v>24</v>
      </c>
      <c r="C24" s="30" t="s">
        <v>45</v>
      </c>
      <c r="D24" s="31" t="s">
        <v>26</v>
      </c>
      <c r="E24" s="47">
        <v>2000000</v>
      </c>
      <c r="F24" s="48">
        <v>42333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hidden="1" customHeight="1">
      <c r="A25" s="61"/>
      <c r="B25" s="62" t="s">
        <v>24</v>
      </c>
      <c r="C25" s="30" t="s">
        <v>46</v>
      </c>
      <c r="D25" s="31" t="s">
        <v>26</v>
      </c>
      <c r="E25" s="47">
        <v>780000</v>
      </c>
      <c r="F25" s="48">
        <v>42210</v>
      </c>
      <c r="G25" s="51"/>
      <c r="H25" s="36">
        <v>0</v>
      </c>
      <c r="I25" s="36"/>
      <c r="J25" s="36">
        <v>0</v>
      </c>
      <c r="K25" s="36">
        <f t="shared" si="1"/>
        <v>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0</v>
      </c>
    </row>
    <row r="26" spans="1:17" s="3" customFormat="1" ht="30.75" customHeight="1">
      <c r="A26" s="61"/>
      <c r="B26" s="62" t="s">
        <v>24</v>
      </c>
      <c r="C26" s="30" t="s">
        <v>49</v>
      </c>
      <c r="D26" s="31" t="s">
        <v>26</v>
      </c>
      <c r="E26" s="47">
        <v>5000000</v>
      </c>
      <c r="F26" s="48">
        <v>42699</v>
      </c>
      <c r="G26" s="51"/>
      <c r="H26" s="36">
        <v>3500000</v>
      </c>
      <c r="I26" s="36"/>
      <c r="J26" s="36">
        <f>350000+350000+350000+350000</f>
        <v>1400000</v>
      </c>
      <c r="K26" s="36">
        <f t="shared" si="1"/>
        <v>2100000</v>
      </c>
      <c r="L26" s="183">
        <v>2.75</v>
      </c>
      <c r="M26" s="50">
        <v>7247.94</v>
      </c>
      <c r="N26" s="50">
        <f>17430.31+3187.36+77.83+9221.85+7819.28+6907.62+4448.66</f>
        <v>49092.91</v>
      </c>
      <c r="O26" s="50">
        <f>687.49+17430.31+6473.79+86.66+3265.19+9221.85+7819.28+6907.62</f>
        <v>51892.19</v>
      </c>
      <c r="P26" s="50">
        <f t="shared" si="2"/>
        <v>4448.6600000000008</v>
      </c>
      <c r="Q26" s="50">
        <f t="shared" si="0"/>
        <v>2104448.66</v>
      </c>
    </row>
    <row r="27" spans="1:17" s="3" customFormat="1" ht="30.75" customHeight="1">
      <c r="A27" s="61"/>
      <c r="B27" s="62" t="s">
        <v>24</v>
      </c>
      <c r="C27" s="30" t="s">
        <v>79</v>
      </c>
      <c r="D27" s="31" t="s">
        <v>26</v>
      </c>
      <c r="E27" s="47">
        <v>3000000</v>
      </c>
      <c r="F27" s="48">
        <v>43064</v>
      </c>
      <c r="G27" s="51"/>
      <c r="H27" s="36">
        <v>2950000</v>
      </c>
      <c r="I27" s="36"/>
      <c r="J27" s="36">
        <f>50000+50000+50000+50000+50000</f>
        <v>250000</v>
      </c>
      <c r="K27" s="36">
        <f t="shared" si="1"/>
        <v>2700000</v>
      </c>
      <c r="L27" s="183">
        <v>2.75</v>
      </c>
      <c r="M27" s="50">
        <v>6690.41</v>
      </c>
      <c r="N27" s="50">
        <f>9322.65+8097.88+15.41+26.35+8771.03+8330.22+8440.43+7623.67</f>
        <v>50627.64</v>
      </c>
      <c r="O27" s="50">
        <f>6464.38+9322.65+252.38+8113.29+8771.03+8330.22+8440.43</f>
        <v>49694.38</v>
      </c>
      <c r="P27" s="50">
        <f t="shared" si="2"/>
        <v>7623.6700000000019</v>
      </c>
      <c r="Q27" s="50">
        <f t="shared" si="0"/>
        <v>2707623.67</v>
      </c>
    </row>
    <row r="28" spans="1:17" s="3" customFormat="1" ht="30.75" customHeight="1">
      <c r="A28" s="61"/>
      <c r="B28" s="62" t="s">
        <v>24</v>
      </c>
      <c r="C28" s="30" t="s">
        <v>70</v>
      </c>
      <c r="D28" s="31" t="s">
        <v>26</v>
      </c>
      <c r="E28" s="47">
        <v>10000000</v>
      </c>
      <c r="F28" s="48">
        <v>43271</v>
      </c>
      <c r="G28" s="51"/>
      <c r="H28" s="36">
        <v>10000000</v>
      </c>
      <c r="I28" s="36"/>
      <c r="J28" s="36"/>
      <c r="K28" s="36">
        <f t="shared" si="1"/>
        <v>10000000</v>
      </c>
      <c r="L28" s="183">
        <v>2.75</v>
      </c>
      <c r="M28" s="50">
        <v>22602.74</v>
      </c>
      <c r="N28" s="50">
        <f>31056.75+29053.09+31056.75+30054.92+31056.75+29280.63</f>
        <v>181558.89</v>
      </c>
      <c r="O28" s="50">
        <f>21849.32+31056.75+753.42+29053.09+31056.75+30054.92+31056.75</f>
        <v>174881</v>
      </c>
      <c r="P28" s="50">
        <f t="shared" si="2"/>
        <v>29280.630000000016</v>
      </c>
      <c r="Q28" s="50">
        <f t="shared" si="0"/>
        <v>10029280.630000001</v>
      </c>
    </row>
    <row r="29" spans="1:17" s="3" customFormat="1" ht="28.5" customHeight="1">
      <c r="A29" s="61"/>
      <c r="B29" s="62" t="s">
        <v>24</v>
      </c>
      <c r="C29" s="30" t="s">
        <v>77</v>
      </c>
      <c r="D29" s="31" t="s">
        <v>26</v>
      </c>
      <c r="E29" s="47">
        <v>7000000</v>
      </c>
      <c r="F29" s="48">
        <v>43393</v>
      </c>
      <c r="G29" s="51"/>
      <c r="H29" s="36">
        <v>7000000</v>
      </c>
      <c r="I29" s="36"/>
      <c r="J29" s="36"/>
      <c r="K29" s="36">
        <f t="shared" si="1"/>
        <v>7000000</v>
      </c>
      <c r="L29" s="183">
        <v>2.75</v>
      </c>
      <c r="M29" s="50">
        <v>16360.49</v>
      </c>
      <c r="N29" s="50">
        <f>21739.72+20337.16+21739.72+21038.44+21739.72+19456.2</f>
        <v>126050.96</v>
      </c>
      <c r="O29" s="50">
        <f>16349.32+11.17+21739.72+20337.16+21739.72+21038.44+21739.72</f>
        <v>122955.25</v>
      </c>
      <c r="P29" s="50">
        <f t="shared" si="2"/>
        <v>19456.200000000004</v>
      </c>
      <c r="Q29" s="50">
        <f t="shared" si="0"/>
        <v>7019456.2000000002</v>
      </c>
    </row>
    <row r="30" spans="1:17" s="3" customFormat="1" ht="33" customHeight="1">
      <c r="A30" s="61"/>
      <c r="B30" s="62" t="s">
        <v>24</v>
      </c>
      <c r="C30" s="30" t="s">
        <v>78</v>
      </c>
      <c r="D30" s="31" t="s">
        <v>26</v>
      </c>
      <c r="E30" s="47">
        <v>15000000</v>
      </c>
      <c r="F30" s="48">
        <v>42367</v>
      </c>
      <c r="G30" s="51"/>
      <c r="H30" s="36"/>
      <c r="I30" s="36">
        <v>0</v>
      </c>
      <c r="J30" s="36">
        <v>0</v>
      </c>
      <c r="K30" s="36">
        <f t="shared" si="1"/>
        <v>0</v>
      </c>
      <c r="L30" s="183">
        <v>2.75</v>
      </c>
      <c r="M30" s="50">
        <v>19076.88</v>
      </c>
      <c r="N30" s="50"/>
      <c r="O30" s="50">
        <f>19061.65+15.23</f>
        <v>19076.88</v>
      </c>
      <c r="P30" s="50">
        <f t="shared" si="2"/>
        <v>0</v>
      </c>
      <c r="Q30" s="50">
        <f t="shared" si="0"/>
        <v>0</v>
      </c>
    </row>
    <row r="31" spans="1:17" s="3" customFormat="1" ht="30.75" customHeight="1">
      <c r="A31" s="61"/>
      <c r="B31" s="62" t="s">
        <v>24</v>
      </c>
      <c r="C31" s="30" t="s">
        <v>85</v>
      </c>
      <c r="D31" s="31" t="s">
        <v>26</v>
      </c>
      <c r="E31" s="47">
        <v>3000000</v>
      </c>
      <c r="F31" s="48">
        <v>43449</v>
      </c>
      <c r="G31" s="51"/>
      <c r="H31" s="36">
        <v>3000000</v>
      </c>
      <c r="I31" s="36"/>
      <c r="J31" s="36"/>
      <c r="K31" s="36">
        <f t="shared" si="1"/>
        <v>3000000</v>
      </c>
      <c r="L31" s="183">
        <v>2.75</v>
      </c>
      <c r="M31" s="50">
        <v>3164.38</v>
      </c>
      <c r="N31" s="50">
        <f>9317.02+8715.93+9317.02+9016.48+9317.02+8784.19</f>
        <v>54467.66</v>
      </c>
      <c r="O31" s="50">
        <f>3164.38+9317.02+8715.93+9317.02+9016.48+9317.02</f>
        <v>48847.850000000006</v>
      </c>
      <c r="P31" s="50">
        <f t="shared" si="2"/>
        <v>8784.1899999999987</v>
      </c>
      <c r="Q31" s="50">
        <f t="shared" si="0"/>
        <v>3008784.19</v>
      </c>
    </row>
    <row r="32" spans="1:17" s="3" customFormat="1" ht="30.75" customHeight="1">
      <c r="A32" s="61"/>
      <c r="B32" s="62" t="s">
        <v>24</v>
      </c>
      <c r="C32" s="30" t="s">
        <v>83</v>
      </c>
      <c r="D32" s="31" t="s">
        <v>26</v>
      </c>
      <c r="E32" s="47">
        <v>8900000</v>
      </c>
      <c r="F32" s="48">
        <v>43455</v>
      </c>
      <c r="G32" s="51"/>
      <c r="H32" s="36">
        <v>8900000</v>
      </c>
      <c r="I32" s="36"/>
      <c r="J32" s="36"/>
      <c r="K32" s="36">
        <f t="shared" si="1"/>
        <v>8900000</v>
      </c>
      <c r="L32" s="183">
        <v>2.75</v>
      </c>
      <c r="M32" s="50">
        <v>4693.84</v>
      </c>
      <c r="N32" s="50">
        <f>27640.51+25857.25+27640.51+26748.88+27640.51+26059.76</f>
        <v>161587.42000000001</v>
      </c>
      <c r="O32" s="50">
        <f>4693.84+27640.51+25857.25+27640.51+26748.88+27640.51</f>
        <v>140221.5</v>
      </c>
      <c r="P32" s="50">
        <f t="shared" si="2"/>
        <v>26059.760000000013</v>
      </c>
      <c r="Q32" s="50">
        <f t="shared" si="0"/>
        <v>8926059.7599999998</v>
      </c>
    </row>
    <row r="33" spans="1:17" s="3" customFormat="1" ht="30.75" customHeight="1">
      <c r="A33" s="61"/>
      <c r="B33" s="62" t="s">
        <v>24</v>
      </c>
      <c r="C33" s="30" t="s">
        <v>84</v>
      </c>
      <c r="D33" s="31" t="s">
        <v>26</v>
      </c>
      <c r="E33" s="47">
        <v>4000000</v>
      </c>
      <c r="F33" s="48">
        <v>42729</v>
      </c>
      <c r="G33" s="51"/>
      <c r="H33" s="36">
        <v>4000000</v>
      </c>
      <c r="I33" s="36"/>
      <c r="J33" s="36">
        <f>333000+333000+334000</f>
        <v>1000000</v>
      </c>
      <c r="K33" s="36">
        <f t="shared" si="1"/>
        <v>3000000</v>
      </c>
      <c r="L33" s="183">
        <v>2.75</v>
      </c>
      <c r="M33" s="50">
        <v>2109.59</v>
      </c>
      <c r="N33" s="50">
        <f>11989.01+10153.35+9818.94+9016.48+9317.02+8784.19</f>
        <v>59078.990000000005</v>
      </c>
      <c r="O33" s="50">
        <f>2109.59+11989.01+10153.35+9818.94+9016.48+9317.02</f>
        <v>52404.39</v>
      </c>
      <c r="P33" s="50">
        <f t="shared" si="2"/>
        <v>8784.190000000006</v>
      </c>
      <c r="Q33" s="50">
        <f t="shared" si="0"/>
        <v>3008784.19</v>
      </c>
    </row>
    <row r="34" spans="1:17" s="3" customFormat="1" ht="30.75" customHeight="1">
      <c r="A34" s="61"/>
      <c r="B34" s="62" t="s">
        <v>24</v>
      </c>
      <c r="C34" s="30" t="s">
        <v>88</v>
      </c>
      <c r="D34" s="31" t="s">
        <v>26</v>
      </c>
      <c r="E34" s="47">
        <v>5000000</v>
      </c>
      <c r="F34" s="48"/>
      <c r="G34" s="51"/>
      <c r="H34" s="36"/>
      <c r="I34" s="36">
        <v>5000000</v>
      </c>
      <c r="J34" s="36"/>
      <c r="K34" s="36">
        <f t="shared" si="1"/>
        <v>5000000</v>
      </c>
      <c r="L34" s="183">
        <v>2.75</v>
      </c>
      <c r="M34" s="50"/>
      <c r="N34" s="50">
        <f>1001.83+14640.32</f>
        <v>15642.15</v>
      </c>
      <c r="O34" s="50">
        <v>1001.83</v>
      </c>
      <c r="P34" s="50">
        <f t="shared" si="2"/>
        <v>14640.32</v>
      </c>
      <c r="Q34" s="50">
        <f t="shared" si="0"/>
        <v>5014640.32</v>
      </c>
    </row>
    <row r="35" spans="1:17" s="3" customFormat="1" ht="18.75" customHeight="1">
      <c r="A35" s="44" t="s">
        <v>15</v>
      </c>
      <c r="B35" s="45"/>
      <c r="C35" s="30"/>
      <c r="D35" s="31"/>
      <c r="E35" s="47">
        <f>E21+E22+E23+E24+E25+E26+E29+E30+E31+E32+E33+E34</f>
        <v>53680000</v>
      </c>
      <c r="F35" s="47"/>
      <c r="G35" s="47"/>
      <c r="H35" s="47">
        <f>H21+H22+H23+H24+H25+H26+H27+H28+H29+H30+H31+H32+H33</f>
        <v>39350000</v>
      </c>
      <c r="I35" s="47">
        <v>5000000</v>
      </c>
      <c r="J35" s="47">
        <f>J21+J22+J23+J24+J25+J26+J27+J28+J29+J30+J31+J32+J33</f>
        <v>2650000</v>
      </c>
      <c r="K35" s="47">
        <f>K21+K22+K23+K24+K25+K26+K27+K28+K29+K30+K31+K32+K33+K34</f>
        <v>41700000</v>
      </c>
      <c r="L35" s="47"/>
      <c r="M35" s="47">
        <f>M21+M22+M23+M24+M25+M26+M27+M28+M29+M30+M31+M32+M33</f>
        <v>81607.23</v>
      </c>
      <c r="N35" s="47">
        <f>N21+N22+N23+N24+N25+N26+N27+N28+N29+N30+N31+N32+N33+N34</f>
        <v>698106.62000000011</v>
      </c>
      <c r="O35" s="47">
        <f>O24+O25+O26+O27+O28+O29+O30+O31+O32+O33+O23+O34</f>
        <v>660636.23</v>
      </c>
      <c r="P35" s="47">
        <f>P21+P22+P23+P24+P25+P26+P27+P28+P29+P30+P31+P32+P33+P34</f>
        <v>119077.62000000002</v>
      </c>
      <c r="Q35" s="186">
        <f>K35+P35</f>
        <v>41819077.619999997</v>
      </c>
    </row>
    <row r="36" spans="1:17" s="3" customFormat="1" ht="20.25" customHeight="1">
      <c r="A36" s="215" t="s">
        <v>21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Q36" s="40"/>
    </row>
    <row r="37" spans="1:17" s="3" customFormat="1" ht="48.75" hidden="1" customHeight="1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Q37" s="40"/>
    </row>
    <row r="38" spans="1:17" s="3" customFormat="1" ht="0.75" hidden="1" customHeight="1">
      <c r="A38" s="67"/>
      <c r="B38" s="202" t="s">
        <v>34</v>
      </c>
      <c r="C38" s="203" t="s">
        <v>30</v>
      </c>
      <c r="D38" s="31" t="s">
        <v>31</v>
      </c>
      <c r="E38" s="32">
        <v>3200000</v>
      </c>
      <c r="F38" s="48">
        <v>40619</v>
      </c>
      <c r="G38" s="34"/>
      <c r="H38" s="35"/>
      <c r="I38" s="36"/>
      <c r="J38" s="69"/>
      <c r="K38" s="50">
        <f>H38-J38</f>
        <v>0</v>
      </c>
      <c r="L38" s="36">
        <v>16</v>
      </c>
      <c r="M38" s="36"/>
      <c r="N38" s="50"/>
      <c r="O38" s="50"/>
      <c r="P38" s="47">
        <f>N38-O38</f>
        <v>0</v>
      </c>
      <c r="Q38" s="50">
        <f>K38+P38</f>
        <v>0</v>
      </c>
    </row>
    <row r="39" spans="1:17" s="3" customFormat="1" ht="36.75" hidden="1" customHeight="1">
      <c r="A39" s="28"/>
      <c r="B39" s="204" t="s">
        <v>34</v>
      </c>
      <c r="C39" s="30" t="s">
        <v>68</v>
      </c>
      <c r="D39" s="31"/>
      <c r="E39" s="32"/>
      <c r="F39" s="48"/>
      <c r="G39" s="34"/>
      <c r="H39" s="35"/>
      <c r="I39" s="36"/>
      <c r="J39" s="69"/>
      <c r="K39" s="36"/>
      <c r="L39" s="36"/>
      <c r="M39" s="36"/>
      <c r="N39" s="50"/>
      <c r="O39" s="50"/>
      <c r="P39" s="47"/>
      <c r="Q39" s="50"/>
    </row>
    <row r="40" spans="1:17" s="3" customFormat="1" ht="41.25" hidden="1" customHeight="1">
      <c r="A40" s="28"/>
      <c r="B40" s="204" t="s">
        <v>37</v>
      </c>
      <c r="C40" s="30" t="s">
        <v>48</v>
      </c>
      <c r="D40" s="31"/>
      <c r="E40" s="32"/>
      <c r="F40" s="48"/>
      <c r="G40" s="34"/>
      <c r="H40" s="35"/>
      <c r="I40" s="36"/>
      <c r="J40" s="69"/>
      <c r="K40" s="50"/>
      <c r="L40" s="50"/>
      <c r="M40" s="36"/>
      <c r="N40" s="50"/>
      <c r="O40" s="50"/>
      <c r="P40" s="47"/>
      <c r="Q40" s="50"/>
    </row>
    <row r="41" spans="1:17" s="3" customFormat="1" ht="53.25" customHeight="1">
      <c r="A41" s="28"/>
      <c r="B41" s="204" t="s">
        <v>37</v>
      </c>
      <c r="C41" s="30" t="s">
        <v>66</v>
      </c>
      <c r="D41" s="31" t="s">
        <v>67</v>
      </c>
      <c r="E41" s="32">
        <v>8000000</v>
      </c>
      <c r="F41" s="48">
        <v>42524</v>
      </c>
      <c r="G41" s="34"/>
      <c r="H41" s="35">
        <v>3537000</v>
      </c>
      <c r="I41" s="36"/>
      <c r="J41" s="69">
        <f>708000+2829000</f>
        <v>3537000</v>
      </c>
      <c r="K41" s="50">
        <f>I41-J41+H41</f>
        <v>0</v>
      </c>
      <c r="L41" s="50">
        <v>13.3</v>
      </c>
      <c r="M41" s="36"/>
      <c r="N41" s="50">
        <f>38558.01+29812.71+31868.76+30840.74+31868.76+2056.05</f>
        <v>165005.03</v>
      </c>
      <c r="O41" s="50">
        <f>38558.01+29812.71+31868.76+30840.74+31868.76+2056.05</f>
        <v>165005.03</v>
      </c>
      <c r="P41" s="47">
        <f>N41-O41</f>
        <v>0</v>
      </c>
      <c r="Q41" s="50">
        <f>K41+P41</f>
        <v>0</v>
      </c>
    </row>
    <row r="42" spans="1:17" s="3" customFormat="1" ht="39.75" customHeight="1">
      <c r="A42" s="28"/>
      <c r="B42" s="204" t="s">
        <v>37</v>
      </c>
      <c r="C42" s="30" t="s">
        <v>71</v>
      </c>
      <c r="D42" s="31" t="s">
        <v>67</v>
      </c>
      <c r="E42" s="32">
        <v>11000000</v>
      </c>
      <c r="F42" s="48">
        <v>42944</v>
      </c>
      <c r="G42" s="34"/>
      <c r="H42" s="35">
        <v>11000000</v>
      </c>
      <c r="I42" s="36">
        <v>0</v>
      </c>
      <c r="J42" s="69">
        <v>0</v>
      </c>
      <c r="K42" s="50">
        <f>I42-J42+H42</f>
        <v>11000000</v>
      </c>
      <c r="L42" s="50">
        <v>15.8</v>
      </c>
      <c r="M42" s="36"/>
      <c r="N42" s="50">
        <f>147207.65+137710.38+147207.65+142459.01+147207.66+142459.01</f>
        <v>864251.3600000001</v>
      </c>
      <c r="O42" s="50">
        <f>147207.65+137710.38+147207.65+142459.01+147207.66+142459.01</f>
        <v>864251.3600000001</v>
      </c>
      <c r="P42" s="47">
        <f>N42-O42</f>
        <v>0</v>
      </c>
      <c r="Q42" s="50">
        <f>K42+P42</f>
        <v>11000000</v>
      </c>
    </row>
    <row r="43" spans="1:17" s="3" customFormat="1" ht="45" customHeight="1">
      <c r="A43" s="205"/>
      <c r="B43" s="204" t="s">
        <v>37</v>
      </c>
      <c r="C43" s="30" t="s">
        <v>80</v>
      </c>
      <c r="D43" s="31" t="s">
        <v>67</v>
      </c>
      <c r="E43" s="32">
        <v>8000000</v>
      </c>
      <c r="F43" s="48">
        <v>43075</v>
      </c>
      <c r="G43" s="34"/>
      <c r="H43" s="35">
        <v>8000000</v>
      </c>
      <c r="I43" s="36">
        <v>0</v>
      </c>
      <c r="J43" s="69"/>
      <c r="K43" s="50">
        <f>I43-J43+H43</f>
        <v>8000000</v>
      </c>
      <c r="L43" s="50">
        <v>13.47</v>
      </c>
      <c r="M43" s="36"/>
      <c r="N43" s="50">
        <f>91290.43+85400.72+91290.43+88345.57+91290.43+88345.57</f>
        <v>535963.14999999991</v>
      </c>
      <c r="O43" s="50">
        <f>176691.15+91290.43+88345.57+91290.43+88345.57</f>
        <v>535963.14999999991</v>
      </c>
      <c r="P43" s="47">
        <f>N43-O43</f>
        <v>0</v>
      </c>
      <c r="Q43" s="50">
        <f>K43+P43</f>
        <v>8000000</v>
      </c>
    </row>
    <row r="44" spans="1:17" s="3" customFormat="1" ht="15" customHeight="1">
      <c r="A44" s="68" t="s">
        <v>15</v>
      </c>
      <c r="B44" s="45"/>
      <c r="C44" s="30"/>
      <c r="D44" s="31"/>
      <c r="E44" s="32">
        <f>E40+E41+E41+E42+E43</f>
        <v>35000000</v>
      </c>
      <c r="F44" s="32"/>
      <c r="G44" s="32"/>
      <c r="H44" s="200">
        <f>H40+H41+H42+H43</f>
        <v>22537000</v>
      </c>
      <c r="I44" s="200">
        <f>I40+I41+I42+I43</f>
        <v>0</v>
      </c>
      <c r="J44" s="47">
        <f>J40+J41+J42+J43</f>
        <v>3537000</v>
      </c>
      <c r="K44" s="47">
        <f>K40+K41+K42+K43</f>
        <v>19000000</v>
      </c>
      <c r="L44" s="32"/>
      <c r="M44" s="32"/>
      <c r="N44" s="47">
        <f>N40+N41+N39+N42+N43</f>
        <v>1565219.54</v>
      </c>
      <c r="O44" s="47">
        <f>O40+O41+O39+O42+O43</f>
        <v>1565219.54</v>
      </c>
      <c r="P44" s="47">
        <f>P40+P41+P39+P42+P43</f>
        <v>0</v>
      </c>
      <c r="Q44" s="47">
        <f>Q40+Q41+Q42+Q43</f>
        <v>19000000</v>
      </c>
    </row>
    <row r="45" spans="1:17" s="3" customFormat="1" ht="10.5" customHeight="1">
      <c r="A45" s="215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Q45" s="40"/>
    </row>
    <row r="46" spans="1:17" s="3" customFormat="1" ht="10.5" customHeight="1">
      <c r="A46" s="28"/>
      <c r="B46" s="29"/>
      <c r="C46" s="30"/>
      <c r="D46" s="31"/>
      <c r="E46" s="32"/>
      <c r="F46" s="33"/>
      <c r="G46" s="34"/>
      <c r="H46" s="35"/>
      <c r="I46" s="36"/>
      <c r="J46" s="37"/>
      <c r="K46" s="36"/>
      <c r="L46" s="36"/>
      <c r="M46" s="36"/>
      <c r="N46" s="36"/>
      <c r="O46" s="36"/>
      <c r="P46" s="36"/>
      <c r="Q46" s="36"/>
    </row>
    <row r="47" spans="1:17" s="3" customFormat="1" ht="12.75" customHeight="1">
      <c r="A47" s="44" t="s">
        <v>15</v>
      </c>
      <c r="B47" s="45"/>
      <c r="C47" s="30"/>
      <c r="D47" s="31"/>
      <c r="E47" s="32"/>
      <c r="F47" s="33"/>
      <c r="G47" s="34"/>
      <c r="H47" s="35"/>
      <c r="I47" s="36"/>
      <c r="J47" s="37"/>
      <c r="K47" s="36"/>
      <c r="L47" s="36"/>
      <c r="M47" s="36"/>
      <c r="N47" s="36"/>
      <c r="O47" s="36"/>
      <c r="P47" s="36"/>
      <c r="Q47" s="36"/>
    </row>
    <row r="48" spans="1:17" s="24" customFormat="1" ht="23.25" customHeight="1">
      <c r="A48" s="217" t="s">
        <v>17</v>
      </c>
      <c r="B48" s="218"/>
      <c r="C48" s="219"/>
      <c r="D48" s="219"/>
      <c r="E48" s="219"/>
      <c r="F48" s="220"/>
      <c r="G48" s="23"/>
      <c r="H48" s="57">
        <f>H35+H44</f>
        <v>61887000</v>
      </c>
      <c r="I48" s="57">
        <f>I35+I44</f>
        <v>5000000</v>
      </c>
      <c r="J48" s="56">
        <f>J35+J44</f>
        <v>6187000</v>
      </c>
      <c r="K48" s="56">
        <f>K35+K44</f>
        <v>60700000</v>
      </c>
      <c r="L48" s="58"/>
      <c r="M48" s="56">
        <f>M35+M44</f>
        <v>81607.23</v>
      </c>
      <c r="N48" s="56">
        <f>N35+N44</f>
        <v>2263326.16</v>
      </c>
      <c r="O48" s="56">
        <f>O35+O44</f>
        <v>2225855.77</v>
      </c>
      <c r="P48" s="56">
        <f>P35+P44</f>
        <v>119077.62000000002</v>
      </c>
      <c r="Q48" s="187">
        <f>Q35+Q44</f>
        <v>60819077.619999997</v>
      </c>
    </row>
    <row r="49" spans="1:17" ht="10.5" customHeight="1">
      <c r="A49" s="18"/>
      <c r="B49" s="25"/>
      <c r="C49" s="19"/>
      <c r="D49" s="19"/>
      <c r="E49" s="20"/>
      <c r="F49" s="22"/>
      <c r="G49" s="22"/>
      <c r="H49" s="26"/>
      <c r="I49" s="27"/>
      <c r="J49" s="27"/>
      <c r="K49" s="26"/>
      <c r="L49" s="26"/>
      <c r="M49" s="26"/>
      <c r="N49" s="26"/>
      <c r="O49" s="26"/>
      <c r="P49" s="26"/>
      <c r="Q49" s="26"/>
    </row>
    <row r="50" spans="1:17">
      <c r="N50" s="71"/>
    </row>
    <row r="51" spans="1:17" ht="17.25" customHeight="1">
      <c r="B51" s="207" t="s">
        <v>50</v>
      </c>
      <c r="C51" s="208"/>
      <c r="D51" s="208"/>
      <c r="E51" s="209"/>
      <c r="F51" s="210"/>
      <c r="G51" s="210"/>
      <c r="H51" s="211"/>
      <c r="I51" s="212"/>
      <c r="J51" s="212"/>
      <c r="K51" s="212"/>
    </row>
    <row r="54" spans="1:17" ht="15.75">
      <c r="B54" s="207" t="s">
        <v>74</v>
      </c>
      <c r="C54" s="213"/>
      <c r="D54" s="213"/>
      <c r="E54" s="213"/>
      <c r="F54" s="213"/>
      <c r="G54" s="213"/>
      <c r="H54" s="213"/>
      <c r="I54" s="213"/>
      <c r="J54" s="213"/>
      <c r="K54" s="213"/>
    </row>
    <row r="56" spans="1:17" ht="25.5">
      <c r="B56" s="201"/>
      <c r="C56" s="5" t="s">
        <v>27</v>
      </c>
    </row>
    <row r="68" spans="3:3" ht="16.5" customHeight="1"/>
    <row r="69" spans="3:3" ht="30" customHeight="1">
      <c r="C69" s="21"/>
    </row>
  </sheetData>
  <mergeCells count="12">
    <mergeCell ref="B51:K51"/>
    <mergeCell ref="B54:K54"/>
    <mergeCell ref="L1:Q2"/>
    <mergeCell ref="A45:M45"/>
    <mergeCell ref="A48:F48"/>
    <mergeCell ref="N5:O5"/>
    <mergeCell ref="A36:M36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C8" workbookViewId="0">
      <selection activeCell="O18" sqref="O18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29" t="s">
        <v>35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31"/>
      <c r="Q1" s="231"/>
    </row>
    <row r="2" spans="1:17" ht="15">
      <c r="A2" s="1"/>
      <c r="B2" s="2"/>
      <c r="C2" s="2"/>
      <c r="D2" s="223" t="s">
        <v>90</v>
      </c>
      <c r="E2" s="224"/>
      <c r="F2" s="224"/>
      <c r="G2" s="224"/>
      <c r="H2" s="224"/>
      <c r="I2" s="224"/>
      <c r="J2" s="224"/>
      <c r="K2" s="22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1" t="s">
        <v>22</v>
      </c>
      <c r="O3" s="22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5"/>
      <c r="G5" s="225"/>
      <c r="H5" s="225"/>
      <c r="I5" s="225"/>
      <c r="J5" s="22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5" t="s">
        <v>19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6" t="s">
        <v>20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3</v>
      </c>
      <c r="B16" s="29" t="s">
        <v>24</v>
      </c>
      <c r="C16" s="30" t="s">
        <v>65</v>
      </c>
      <c r="D16" s="31" t="s">
        <v>32</v>
      </c>
      <c r="E16" s="47">
        <v>0</v>
      </c>
      <c r="F16" s="48">
        <v>42448</v>
      </c>
      <c r="G16" s="65" t="s">
        <v>43</v>
      </c>
      <c r="H16" s="36">
        <v>0</v>
      </c>
      <c r="I16" s="36"/>
      <c r="J16" s="36">
        <v>0</v>
      </c>
      <c r="K16" s="36">
        <f>H16-J16+I16</f>
        <v>0</v>
      </c>
      <c r="L16" s="69">
        <f>8.25*1/3</f>
        <v>2.75</v>
      </c>
      <c r="M16" s="50">
        <v>526.34</v>
      </c>
      <c r="N16" s="50">
        <f>5.98+6.05+5.92+6.12+5.92</f>
        <v>29.990000000000002</v>
      </c>
      <c r="O16" s="50">
        <f>5.92+6.12</f>
        <v>12.04</v>
      </c>
      <c r="P16" s="50">
        <f>N16-O16+M16</f>
        <v>544.29000000000008</v>
      </c>
      <c r="Q16" s="50">
        <f>K16+P16</f>
        <v>544.29000000000008</v>
      </c>
    </row>
    <row r="17" spans="1:17" ht="105">
      <c r="A17" s="61" t="s">
        <v>51</v>
      </c>
      <c r="B17" s="29" t="s">
        <v>24</v>
      </c>
      <c r="C17" s="30" t="s">
        <v>86</v>
      </c>
      <c r="D17" s="31" t="s">
        <v>32</v>
      </c>
      <c r="E17" s="47">
        <v>800000</v>
      </c>
      <c r="F17" s="48">
        <v>42819</v>
      </c>
      <c r="G17" s="65" t="s">
        <v>43</v>
      </c>
      <c r="H17" s="36">
        <v>614000</v>
      </c>
      <c r="I17" s="36"/>
      <c r="J17" s="36">
        <f>22000+11000</f>
        <v>33000</v>
      </c>
      <c r="K17" s="36">
        <f>H17-J17+I17</f>
        <v>581000</v>
      </c>
      <c r="L17" s="69">
        <f>8.25*1/3</f>
        <v>2.75</v>
      </c>
      <c r="M17" s="50">
        <v>1621.62</v>
      </c>
      <c r="N17" s="50">
        <f>1635.44+2045.35+1912.09+40.83+250.07+1912.09+82.56+250.07+1887.78+85.31+250.07+1784.11+82.56+72.6</f>
        <v>12290.93</v>
      </c>
      <c r="O17" s="50">
        <f>1912.09+250.07+82.56+85.31+250.07+1887.78</f>
        <v>4467.88</v>
      </c>
      <c r="P17" s="50">
        <f>N17-O17+M17</f>
        <v>9444.67</v>
      </c>
      <c r="Q17" s="50">
        <f>K17+P17</f>
        <v>590444.67000000004</v>
      </c>
    </row>
    <row r="18" spans="1:17" ht="105">
      <c r="A18" s="61"/>
      <c r="B18" s="29" t="s">
        <v>24</v>
      </c>
      <c r="C18" s="30" t="s">
        <v>82</v>
      </c>
      <c r="D18" s="31" t="s">
        <v>32</v>
      </c>
      <c r="E18" s="47">
        <v>1500000</v>
      </c>
      <c r="F18" s="48">
        <v>43459</v>
      </c>
      <c r="G18" s="65" t="s">
        <v>43</v>
      </c>
      <c r="H18" s="36">
        <v>1500000</v>
      </c>
      <c r="I18" s="36">
        <v>0</v>
      </c>
      <c r="J18" s="36">
        <f>33000+16500</f>
        <v>49500</v>
      </c>
      <c r="K18" s="36">
        <f>H18-J18+I18</f>
        <v>1450500</v>
      </c>
      <c r="L18" s="69">
        <v>2.75</v>
      </c>
      <c r="M18" s="50">
        <v>1017.12</v>
      </c>
      <c r="N18" s="50">
        <f>3503.42+4837.32+4671.23+466.03+72.06+4520.55+451+160.24+4634.77+466.03+165.58+4411.15+451+160.24</f>
        <v>28970.620000000006</v>
      </c>
      <c r="O18" s="50">
        <f>4520.55+451+160.24+466.03+165.58+4634.77</f>
        <v>10398.17</v>
      </c>
      <c r="P18" s="50">
        <f>N18-O18+M18</f>
        <v>19589.570000000003</v>
      </c>
      <c r="Q18" s="50">
        <f>K18+P18</f>
        <v>1470089.57</v>
      </c>
    </row>
    <row r="19" spans="1:17" ht="15">
      <c r="A19" s="44" t="s">
        <v>15</v>
      </c>
      <c r="B19" s="45"/>
      <c r="C19" s="30"/>
      <c r="D19" s="31"/>
      <c r="E19" s="47">
        <f>E16+E17</f>
        <v>800000</v>
      </c>
      <c r="F19" s="47"/>
      <c r="G19" s="47"/>
      <c r="H19" s="47">
        <f>H16+H17+H18</f>
        <v>2114000</v>
      </c>
      <c r="I19" s="47">
        <f>I18</f>
        <v>0</v>
      </c>
      <c r="J19" s="47">
        <f>J16+J17+J18</f>
        <v>82500</v>
      </c>
      <c r="K19" s="47">
        <f>K16+K17+K18</f>
        <v>2031500</v>
      </c>
      <c r="L19" s="47"/>
      <c r="M19" s="47">
        <f>M16+M17+M18</f>
        <v>3165.08</v>
      </c>
      <c r="N19" s="47">
        <f>N16+N17+N18</f>
        <v>41291.540000000008</v>
      </c>
      <c r="O19" s="47">
        <f>O16+O17+O18</f>
        <v>14878.09</v>
      </c>
      <c r="P19" s="47">
        <f>P16+P17+P18</f>
        <v>29578.530000000006</v>
      </c>
      <c r="Q19" s="47">
        <f>Q16+Q17+Q18</f>
        <v>2061078.5300000003</v>
      </c>
    </row>
    <row r="20" spans="1:17" ht="15">
      <c r="A20" s="215" t="s">
        <v>21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0">I22+I23+I24</f>
        <v>0</v>
      </c>
      <c r="J25" s="36">
        <f t="shared" si="0"/>
        <v>0</v>
      </c>
      <c r="K25" s="36">
        <f t="shared" si="0"/>
        <v>0</v>
      </c>
      <c r="L25" s="36"/>
      <c r="M25" s="36">
        <f t="shared" si="0"/>
        <v>0</v>
      </c>
      <c r="N25" s="50">
        <f t="shared" si="0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15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17" t="s">
        <v>17</v>
      </c>
      <c r="B29" s="218"/>
      <c r="C29" s="219"/>
      <c r="D29" s="219"/>
      <c r="E29" s="219"/>
      <c r="F29" s="220"/>
      <c r="G29" s="23"/>
      <c r="H29" s="57">
        <f>H19+H25</f>
        <v>2114000</v>
      </c>
      <c r="I29" s="57">
        <f>I19+I25</f>
        <v>0</v>
      </c>
      <c r="J29" s="56">
        <f>J19+J25</f>
        <v>82500</v>
      </c>
      <c r="K29" s="56">
        <f>K19+K25</f>
        <v>2031500</v>
      </c>
      <c r="L29" s="58"/>
      <c r="M29" s="57">
        <v>371.58</v>
      </c>
      <c r="N29" s="56">
        <f>N19+N25</f>
        <v>41291.540000000008</v>
      </c>
      <c r="O29" s="56">
        <f>O19+O25</f>
        <v>14878.09</v>
      </c>
      <c r="P29" s="56">
        <f>P19+P25</f>
        <v>29578.530000000006</v>
      </c>
      <c r="Q29" s="56">
        <f>Q19+Q25</f>
        <v>2061078.5300000003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207" t="s">
        <v>53</v>
      </c>
      <c r="C32" s="208"/>
      <c r="D32" s="208"/>
      <c r="E32" s="209"/>
      <c r="F32" s="210"/>
      <c r="G32" s="210"/>
      <c r="H32" s="211"/>
      <c r="I32" s="212"/>
      <c r="J32" s="212"/>
      <c r="K32" s="212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207" t="s">
        <v>72</v>
      </c>
      <c r="C35" s="213"/>
      <c r="D35" s="213"/>
      <c r="E35" s="213"/>
      <c r="F35" s="213"/>
      <c r="G35" s="213"/>
      <c r="H35" s="213"/>
      <c r="I35" s="213"/>
      <c r="J35" s="213"/>
      <c r="K35" s="213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5.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B32:K32"/>
    <mergeCell ref="B35:K35"/>
    <mergeCell ref="A10:M10"/>
    <mergeCell ref="A13:M13"/>
    <mergeCell ref="A20:M20"/>
    <mergeCell ref="A26:M26"/>
    <mergeCell ref="A1:Q1"/>
    <mergeCell ref="D2:K2"/>
    <mergeCell ref="N3:O3"/>
    <mergeCell ref="F5:J5"/>
    <mergeCell ref="A29:F29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1" workbookViewId="0">
      <selection activeCell="O17" sqref="O17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29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31"/>
      <c r="Q1" s="231"/>
    </row>
    <row r="2" spans="1:17" ht="15">
      <c r="A2" s="1"/>
      <c r="B2" s="2"/>
      <c r="C2" s="2"/>
      <c r="D2" s="223" t="s">
        <v>87</v>
      </c>
      <c r="E2" s="224"/>
      <c r="F2" s="224"/>
      <c r="G2" s="224"/>
      <c r="H2" s="224"/>
      <c r="I2" s="224"/>
      <c r="J2" s="224"/>
      <c r="K2" s="22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1" t="s">
        <v>22</v>
      </c>
      <c r="O3" s="22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5"/>
      <c r="G5" s="225"/>
      <c r="H5" s="225"/>
      <c r="I5" s="225"/>
      <c r="J5" s="22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5" t="s">
        <v>19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6" t="s">
        <v>20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62</v>
      </c>
      <c r="D16" s="31" t="s">
        <v>32</v>
      </c>
      <c r="E16" s="47">
        <v>500000</v>
      </c>
      <c r="F16" s="48">
        <v>42819</v>
      </c>
      <c r="G16" s="65" t="s">
        <v>43</v>
      </c>
      <c r="H16" s="36">
        <v>206000</v>
      </c>
      <c r="I16" s="36"/>
      <c r="J16" s="36">
        <f>14000+14000+14000+14000+14000</f>
        <v>70000</v>
      </c>
      <c r="K16" s="36">
        <f>H16-J16+I16</f>
        <v>136000</v>
      </c>
      <c r="L16" s="69">
        <v>2.75</v>
      </c>
      <c r="M16" s="50">
        <v>510.97</v>
      </c>
      <c r="N16" s="50">
        <f>500.12+752.48+589.48+159.13+8.47+536.44+154+14.3+517.75+159.13+5.45+442.21+46.2+20.43</f>
        <v>3905.5899999999997</v>
      </c>
      <c r="O16" s="50">
        <f>510.97+152.35+154+14.3+536.44+517.75+159.13+5.45</f>
        <v>2050.39</v>
      </c>
      <c r="P16" s="50">
        <f>M16+N16-O16</f>
        <v>2366.1699999999996</v>
      </c>
      <c r="Q16" s="50">
        <f>K16+P16</f>
        <v>138366.17000000001</v>
      </c>
    </row>
    <row r="17" spans="1:17" ht="105">
      <c r="A17" s="28"/>
      <c r="B17" s="29" t="s">
        <v>24</v>
      </c>
      <c r="C17" s="30" t="s">
        <v>81</v>
      </c>
      <c r="D17" s="31" t="s">
        <v>32</v>
      </c>
      <c r="E17" s="47">
        <v>700000</v>
      </c>
      <c r="F17" s="48">
        <v>43459</v>
      </c>
      <c r="G17" s="206"/>
      <c r="H17" s="36">
        <v>700000</v>
      </c>
      <c r="I17" s="36">
        <v>0</v>
      </c>
      <c r="J17" s="36">
        <f>20000+20000+20000</f>
        <v>60000</v>
      </c>
      <c r="K17" s="36">
        <f>H17-J17+I17</f>
        <v>640000</v>
      </c>
      <c r="L17" s="69">
        <v>2.75</v>
      </c>
      <c r="M17" s="50">
        <v>474.66</v>
      </c>
      <c r="N17" s="50">
        <f>1634.93+2263.33+5856.62+227.39+28.29+-1639.45+220+107.65+2091.51+227.33+23.9+2041.28+51.33+89.62</f>
        <v>13223.730000000001</v>
      </c>
      <c r="O17" s="50">
        <f>474.66+224.06+107.65+220+2091.51+227.33+23.9</f>
        <v>3369.11</v>
      </c>
      <c r="P17" s="50">
        <f>M17+N17-O17</f>
        <v>10329.280000000001</v>
      </c>
      <c r="Q17" s="50">
        <f>K17+P17</f>
        <v>650329.28</v>
      </c>
    </row>
    <row r="18" spans="1:17" ht="15">
      <c r="A18" s="28"/>
      <c r="B18" s="62"/>
      <c r="C18" s="30"/>
      <c r="D18" s="31"/>
      <c r="E18" s="47"/>
      <c r="F18" s="48"/>
      <c r="G18" s="51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</f>
        <v>906000</v>
      </c>
      <c r="I20" s="47">
        <v>0</v>
      </c>
      <c r="J20" s="47">
        <f>J16+J18+J19+J17</f>
        <v>130000</v>
      </c>
      <c r="K20" s="47">
        <f t="shared" ref="K20:Q20" si="0">K16+K18+K19+K17</f>
        <v>776000</v>
      </c>
      <c r="L20" s="47">
        <f t="shared" si="0"/>
        <v>5.5</v>
      </c>
      <c r="M20" s="47">
        <f t="shared" si="0"/>
        <v>985.63000000000011</v>
      </c>
      <c r="N20" s="47">
        <f t="shared" si="0"/>
        <v>17129.32</v>
      </c>
      <c r="O20" s="47">
        <f t="shared" si="0"/>
        <v>5419.5</v>
      </c>
      <c r="P20" s="47">
        <f t="shared" si="0"/>
        <v>12695.45</v>
      </c>
      <c r="Q20" s="47">
        <f t="shared" si="0"/>
        <v>788695.45000000007</v>
      </c>
    </row>
    <row r="21" spans="1:17" ht="15">
      <c r="A21" s="215" t="s">
        <v>21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1">I23+I24+I25</f>
        <v>0</v>
      </c>
      <c r="J26" s="36">
        <f t="shared" si="1"/>
        <v>0</v>
      </c>
      <c r="K26" s="36">
        <f t="shared" si="1"/>
        <v>0</v>
      </c>
      <c r="L26" s="36"/>
      <c r="M26" s="36">
        <f t="shared" si="1"/>
        <v>0</v>
      </c>
      <c r="N26" s="50">
        <f t="shared" si="1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17" t="s">
        <v>17</v>
      </c>
      <c r="B30" s="218"/>
      <c r="C30" s="219"/>
      <c r="D30" s="219"/>
      <c r="E30" s="219"/>
      <c r="F30" s="220"/>
      <c r="G30" s="23"/>
      <c r="H30" s="57">
        <f>H20+H26</f>
        <v>906000</v>
      </c>
      <c r="I30" s="57">
        <f>I20+I26</f>
        <v>0</v>
      </c>
      <c r="J30" s="56">
        <f>J20+J26</f>
        <v>130000</v>
      </c>
      <c r="K30" s="56">
        <f>K20+K26</f>
        <v>776000</v>
      </c>
      <c r="L30" s="58"/>
      <c r="M30" s="57">
        <f>M20</f>
        <v>985.63000000000011</v>
      </c>
      <c r="N30" s="56">
        <f>N20+N26</f>
        <v>17129.32</v>
      </c>
      <c r="O30" s="56">
        <f>O20+O26</f>
        <v>5419.5</v>
      </c>
      <c r="P30" s="56">
        <f>P20+P26</f>
        <v>12695.45</v>
      </c>
      <c r="Q30" s="56">
        <f>Q20+Q26</f>
        <v>788695.45000000007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07" t="s">
        <v>55</v>
      </c>
      <c r="C33" s="208"/>
      <c r="D33" s="208"/>
      <c r="E33" s="209"/>
      <c r="F33" s="210"/>
      <c r="G33" s="210"/>
      <c r="H33" s="211"/>
      <c r="I33" s="212"/>
      <c r="J33" s="212"/>
      <c r="K33" s="212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07" t="s">
        <v>73</v>
      </c>
      <c r="C36" s="213"/>
      <c r="D36" s="213"/>
      <c r="E36" s="213"/>
      <c r="F36" s="213"/>
      <c r="G36" s="213"/>
      <c r="H36" s="213"/>
      <c r="I36" s="213"/>
      <c r="J36" s="213"/>
      <c r="K36" s="213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54</v>
      </c>
      <c r="D38" s="5"/>
      <c r="E38" s="10"/>
      <c r="F38" s="13"/>
      <c r="G38" s="13"/>
      <c r="H38" s="1"/>
      <c r="I38" s="1"/>
      <c r="J38" s="1" t="s">
        <v>56</v>
      </c>
      <c r="K38" s="1"/>
      <c r="L38" s="1"/>
      <c r="M38" s="1"/>
      <c r="N38" s="1"/>
      <c r="O38" s="1"/>
      <c r="P38" s="1"/>
      <c r="Q38" s="1"/>
    </row>
  </sheetData>
  <mergeCells count="11">
    <mergeCell ref="B36:K36"/>
    <mergeCell ref="A10:M10"/>
    <mergeCell ref="A13:M13"/>
    <mergeCell ref="A21:M21"/>
    <mergeCell ref="A27:M27"/>
    <mergeCell ref="B33:K33"/>
    <mergeCell ref="A1:Q1"/>
    <mergeCell ref="D2:K2"/>
    <mergeCell ref="N3:O3"/>
    <mergeCell ref="F5:J5"/>
    <mergeCell ref="A30:F30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O16" sqref="O16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47" t="s">
        <v>40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9"/>
      <c r="P1" s="249"/>
      <c r="Q1" s="249"/>
    </row>
    <row r="2" spans="1:17" ht="20.25">
      <c r="A2" s="74"/>
      <c r="B2" s="75"/>
      <c r="C2" s="75"/>
      <c r="D2" s="250" t="s">
        <v>91</v>
      </c>
      <c r="E2" s="251"/>
      <c r="F2" s="251"/>
      <c r="G2" s="251"/>
      <c r="H2" s="251"/>
      <c r="I2" s="251"/>
      <c r="J2" s="251"/>
      <c r="K2" s="251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52" t="s">
        <v>22</v>
      </c>
      <c r="O3" s="252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53"/>
      <c r="G5" s="253"/>
      <c r="H5" s="253"/>
      <c r="I5" s="253"/>
      <c r="J5" s="253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283.5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6" t="s">
        <v>19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34" t="s">
        <v>20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141.75">
      <c r="A15" s="90">
        <v>2</v>
      </c>
      <c r="B15" s="91" t="s">
        <v>24</v>
      </c>
      <c r="C15" s="92" t="s">
        <v>63</v>
      </c>
      <c r="D15" s="93"/>
      <c r="E15" s="103">
        <v>380000</v>
      </c>
      <c r="F15" s="104">
        <v>42819</v>
      </c>
      <c r="G15" s="108" t="s">
        <v>43</v>
      </c>
      <c r="H15" s="97">
        <v>171000</v>
      </c>
      <c r="I15" s="97"/>
      <c r="J15" s="97">
        <f>26000+26000</f>
        <v>52000</v>
      </c>
      <c r="K15" s="97">
        <f>H15-J15+I15</f>
        <v>119000</v>
      </c>
      <c r="L15" s="107">
        <v>2.75</v>
      </c>
      <c r="M15" s="107">
        <v>939.82</v>
      </c>
      <c r="N15" s="107">
        <f>543.8+678.63+532.52+181.87+16.65+515.34+176+22.28+503.79+181.87+22.28+418.7+46.93+31.83</f>
        <v>3872.49</v>
      </c>
      <c r="O15" s="107">
        <f>713.62+503.79+181.87+22.28</f>
        <v>1421.5600000000002</v>
      </c>
      <c r="P15" s="107">
        <f>M15+N15-O15</f>
        <v>3390.7499999999991</v>
      </c>
      <c r="Q15" s="107">
        <f>K15+P15</f>
        <v>122390.75</v>
      </c>
    </row>
    <row r="16" spans="1:17" ht="20.25">
      <c r="A16" s="90"/>
      <c r="B16" s="109"/>
      <c r="C16" s="92"/>
      <c r="D16" s="93"/>
      <c r="E16" s="103"/>
      <c r="F16" s="104"/>
      <c r="G16" s="110"/>
      <c r="H16" s="97"/>
      <c r="I16" s="97"/>
      <c r="J16" s="97"/>
      <c r="K16" s="97"/>
      <c r="L16" s="106"/>
      <c r="M16" s="107"/>
      <c r="N16" s="107"/>
      <c r="O16" s="107"/>
      <c r="P16" s="107"/>
      <c r="Q16" s="107"/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>
        <f>E14+E15+E16+E17</f>
        <v>380000</v>
      </c>
      <c r="F18" s="103"/>
      <c r="G18" s="103"/>
      <c r="H18" s="103">
        <f t="shared" ref="H18:Q18" si="0">H14+H15+H16+H17</f>
        <v>171000</v>
      </c>
      <c r="I18" s="103">
        <f t="shared" si="0"/>
        <v>0</v>
      </c>
      <c r="J18" s="103">
        <f t="shared" si="0"/>
        <v>52000</v>
      </c>
      <c r="K18" s="103">
        <f t="shared" si="0"/>
        <v>119000</v>
      </c>
      <c r="L18" s="103"/>
      <c r="M18" s="103">
        <f t="shared" si="0"/>
        <v>939.82</v>
      </c>
      <c r="N18" s="103">
        <f t="shared" si="0"/>
        <v>3872.49</v>
      </c>
      <c r="O18" s="103">
        <f t="shared" si="0"/>
        <v>1421.5600000000002</v>
      </c>
      <c r="P18" s="103">
        <f t="shared" si="0"/>
        <v>3390.7499999999991</v>
      </c>
      <c r="Q18" s="103">
        <f t="shared" si="0"/>
        <v>122390.75</v>
      </c>
    </row>
    <row r="19" spans="1:17" ht="20.25">
      <c r="A19" s="236" t="s">
        <v>21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36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39" t="s">
        <v>17</v>
      </c>
      <c r="B28" s="240"/>
      <c r="C28" s="241"/>
      <c r="D28" s="241"/>
      <c r="E28" s="241"/>
      <c r="F28" s="242"/>
      <c r="G28" s="118"/>
      <c r="H28" s="119">
        <f>H18+H24</f>
        <v>171000</v>
      </c>
      <c r="I28" s="119">
        <f>I18+I24</f>
        <v>0</v>
      </c>
      <c r="J28" s="120">
        <f>J18+J24</f>
        <v>52000</v>
      </c>
      <c r="K28" s="120">
        <f>K18+K24</f>
        <v>119000</v>
      </c>
      <c r="L28" s="121"/>
      <c r="M28" s="119">
        <f>M18</f>
        <v>939.82</v>
      </c>
      <c r="N28" s="120">
        <f>N18+N24</f>
        <v>3872.49</v>
      </c>
      <c r="O28" s="120">
        <f>O18+O24</f>
        <v>1421.5600000000002</v>
      </c>
      <c r="P28" s="107">
        <f>M28+N28-O28</f>
        <v>3390.7499999999991</v>
      </c>
      <c r="Q28" s="120">
        <f>Q18+Q24</f>
        <v>122390.75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32" t="s">
        <v>52</v>
      </c>
      <c r="C31" s="243"/>
      <c r="D31" s="243"/>
      <c r="E31" s="244"/>
      <c r="F31" s="245"/>
      <c r="G31" s="245"/>
      <c r="H31" s="246"/>
      <c r="I31" s="233"/>
      <c r="J31" s="233"/>
      <c r="K31" s="233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32" t="s">
        <v>74</v>
      </c>
      <c r="C34" s="233"/>
      <c r="D34" s="233"/>
      <c r="E34" s="233"/>
      <c r="F34" s="233"/>
      <c r="G34" s="233"/>
      <c r="H34" s="233"/>
      <c r="I34" s="233"/>
      <c r="J34" s="233"/>
      <c r="K34" s="233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57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31496062992125984" bottom="0.35433070866141736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O16" sqref="O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29" t="s">
        <v>41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70"/>
      <c r="P1" s="270"/>
      <c r="Q1" s="270"/>
    </row>
    <row r="2" spans="1:17" ht="18.75">
      <c r="A2" s="130"/>
      <c r="B2" s="131"/>
      <c r="C2" s="131"/>
      <c r="D2" s="271" t="s">
        <v>89</v>
      </c>
      <c r="E2" s="272"/>
      <c r="F2" s="272"/>
      <c r="G2" s="272"/>
      <c r="H2" s="272"/>
      <c r="I2" s="272"/>
      <c r="J2" s="272"/>
      <c r="K2" s="272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73" t="s">
        <v>22</v>
      </c>
      <c r="O3" s="273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74"/>
      <c r="G5" s="274"/>
      <c r="H5" s="274"/>
      <c r="I5" s="274"/>
      <c r="J5" s="274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206.2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59" t="s">
        <v>19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57" t="s">
        <v>20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206.25">
      <c r="A15" s="146">
        <v>2</v>
      </c>
      <c r="B15" s="147" t="s">
        <v>24</v>
      </c>
      <c r="C15" s="148" t="s">
        <v>64</v>
      </c>
      <c r="D15" s="149" t="s">
        <v>32</v>
      </c>
      <c r="E15" s="159">
        <v>1100000</v>
      </c>
      <c r="F15" s="160">
        <v>42819</v>
      </c>
      <c r="G15" s="164" t="s">
        <v>43</v>
      </c>
      <c r="H15" s="153">
        <v>459000</v>
      </c>
      <c r="I15" s="153"/>
      <c r="J15" s="153">
        <v>0</v>
      </c>
      <c r="K15" s="153">
        <f>H15-J15+I15</f>
        <v>459000</v>
      </c>
      <c r="L15" s="171">
        <v>2.75</v>
      </c>
      <c r="M15" s="163">
        <v>1485.23</v>
      </c>
      <c r="N15" s="163">
        <f>1170.32+1685.32+1429.4+352.37+33.42+1383.29+341+67.72+1429.4+341+90.34+1383.29+341+107.9</f>
        <v>10155.769999999999</v>
      </c>
      <c r="O15" s="163">
        <v>7948.06</v>
      </c>
      <c r="P15" s="163">
        <f>N15-O15+M15</f>
        <v>3692.9399999999982</v>
      </c>
      <c r="Q15" s="163">
        <f>K15+M15+N15-O15</f>
        <v>462692.94</v>
      </c>
    </row>
    <row r="16" spans="1:17" ht="19.5">
      <c r="A16" s="146"/>
      <c r="B16" s="165"/>
      <c r="C16" s="148"/>
      <c r="D16" s="149"/>
      <c r="E16" s="159"/>
      <c r="F16" s="160"/>
      <c r="G16" s="166"/>
      <c r="H16" s="153"/>
      <c r="I16" s="153"/>
      <c r="J16" s="153"/>
      <c r="K16" s="153"/>
      <c r="L16" s="162"/>
      <c r="M16" s="163"/>
      <c r="N16" s="163"/>
      <c r="O16" s="163"/>
      <c r="P16" s="163"/>
      <c r="Q16" s="163"/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1100000</v>
      </c>
      <c r="F18" s="159"/>
      <c r="G18" s="159"/>
      <c r="H18" s="159">
        <v>459000</v>
      </c>
      <c r="I18" s="159"/>
      <c r="J18" s="159">
        <f t="shared" ref="J18:Q18" si="0">J15+J16+J17</f>
        <v>0</v>
      </c>
      <c r="K18" s="159">
        <f t="shared" si="0"/>
        <v>459000</v>
      </c>
      <c r="L18" s="159">
        <f t="shared" si="0"/>
        <v>2.75</v>
      </c>
      <c r="M18" s="159">
        <f t="shared" si="0"/>
        <v>1485.23</v>
      </c>
      <c r="N18" s="159">
        <f t="shared" si="0"/>
        <v>10155.769999999999</v>
      </c>
      <c r="O18" s="159">
        <f t="shared" si="0"/>
        <v>7948.06</v>
      </c>
      <c r="P18" s="159">
        <f t="shared" si="0"/>
        <v>3692.9399999999982</v>
      </c>
      <c r="Q18" s="159">
        <f t="shared" si="0"/>
        <v>462692.94</v>
      </c>
    </row>
    <row r="19" spans="1:17" ht="18.75">
      <c r="A19" s="259" t="s">
        <v>21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59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2" t="s">
        <v>17</v>
      </c>
      <c r="B28" s="263"/>
      <c r="C28" s="264"/>
      <c r="D28" s="264"/>
      <c r="E28" s="264"/>
      <c r="F28" s="265"/>
      <c r="G28" s="174"/>
      <c r="H28" s="175">
        <f>H18+H24</f>
        <v>459000</v>
      </c>
      <c r="I28" s="175">
        <f>I18+I24</f>
        <v>0</v>
      </c>
      <c r="J28" s="176">
        <f>J18+J24</f>
        <v>0</v>
      </c>
      <c r="K28" s="176">
        <f>K18+K24</f>
        <v>459000</v>
      </c>
      <c r="L28" s="58"/>
      <c r="M28" s="175">
        <f>M18</f>
        <v>1485.23</v>
      </c>
      <c r="N28" s="176">
        <f>N18+N24</f>
        <v>10155.769999999999</v>
      </c>
      <c r="O28" s="176">
        <f>O18+O24</f>
        <v>7948.06</v>
      </c>
      <c r="P28" s="176">
        <f>P18+P24</f>
        <v>3692.9399999999982</v>
      </c>
      <c r="Q28" s="176">
        <f>K28+P28</f>
        <v>462692.94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55" t="s">
        <v>52</v>
      </c>
      <c r="C31" s="266"/>
      <c r="D31" s="266"/>
      <c r="E31" s="267"/>
      <c r="F31" s="268"/>
      <c r="G31" s="268"/>
      <c r="H31" s="269"/>
      <c r="I31" s="256"/>
      <c r="J31" s="256"/>
      <c r="K31" s="256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55" t="s">
        <v>75</v>
      </c>
      <c r="C34" s="256"/>
      <c r="D34" s="256"/>
      <c r="E34" s="256"/>
      <c r="F34" s="256"/>
      <c r="G34" s="256"/>
      <c r="H34" s="256"/>
      <c r="I34" s="256"/>
      <c r="J34" s="256"/>
      <c r="K34" s="256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76</v>
      </c>
      <c r="J36" s="1"/>
      <c r="K36" s="1"/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32" right="0.18" top="0.31496062992125984" bottom="0.31496062992125984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O16" sqref="O16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29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70"/>
      <c r="P1" s="270"/>
      <c r="Q1" s="270"/>
    </row>
    <row r="2" spans="1:17" ht="18.75">
      <c r="A2" s="130"/>
      <c r="B2" s="131"/>
      <c r="C2" s="131"/>
      <c r="D2" s="271" t="s">
        <v>92</v>
      </c>
      <c r="E2" s="272"/>
      <c r="F2" s="272"/>
      <c r="G2" s="272"/>
      <c r="H2" s="272"/>
      <c r="I2" s="272"/>
      <c r="J2" s="272"/>
      <c r="K2" s="272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73" t="s">
        <v>22</v>
      </c>
      <c r="O3" s="273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74"/>
      <c r="G5" s="274"/>
      <c r="H5" s="274"/>
      <c r="I5" s="274"/>
      <c r="J5" s="274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59" t="s">
        <v>19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57" t="s">
        <v>20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2</v>
      </c>
      <c r="B15" s="147" t="s">
        <v>24</v>
      </c>
      <c r="C15" s="148" t="s">
        <v>47</v>
      </c>
      <c r="D15" s="149" t="s">
        <v>32</v>
      </c>
      <c r="E15" s="159">
        <v>780000</v>
      </c>
      <c r="F15" s="160">
        <v>42389</v>
      </c>
      <c r="G15" s="164" t="s">
        <v>43</v>
      </c>
      <c r="H15" s="153">
        <v>211230</v>
      </c>
      <c r="I15" s="153"/>
      <c r="J15" s="153">
        <f>8154+8154+8154</f>
        <v>24462</v>
      </c>
      <c r="K15" s="153">
        <f>H15-J15+I15</f>
        <v>186768</v>
      </c>
      <c r="L15" s="163">
        <v>2.75</v>
      </c>
      <c r="M15" s="163">
        <v>536.63</v>
      </c>
      <c r="N15" s="163">
        <f>567.43+709.77+635.69+9.83+92.68+612.01+22.17+89.69+632.41+31.14+92.68+587.44+24.4+89.69</f>
        <v>4197.0299999999988</v>
      </c>
      <c r="O15" s="163">
        <f>536.63+1108.71+156.21+12.28</f>
        <v>1813.8300000000002</v>
      </c>
      <c r="P15" s="163">
        <f>N15-O15+M15</f>
        <v>2919.829999999999</v>
      </c>
      <c r="Q15" s="163">
        <f>K15+P15</f>
        <v>189687.83</v>
      </c>
    </row>
    <row r="16" spans="1:17" ht="156">
      <c r="A16" s="146">
        <v>3</v>
      </c>
      <c r="B16" s="147" t="s">
        <v>24</v>
      </c>
      <c r="C16" s="148" t="s">
        <v>58</v>
      </c>
      <c r="D16" s="149" t="s">
        <v>32</v>
      </c>
      <c r="E16" s="159">
        <v>500000</v>
      </c>
      <c r="F16" s="160">
        <v>42819</v>
      </c>
      <c r="G16" s="164" t="s">
        <v>43</v>
      </c>
      <c r="H16" s="153">
        <v>261435</v>
      </c>
      <c r="I16" s="153"/>
      <c r="J16" s="153">
        <f>8513+8513+8513</f>
        <v>25539</v>
      </c>
      <c r="K16" s="153">
        <f>H16-J16+I16</f>
        <v>235896</v>
      </c>
      <c r="L16" s="163">
        <v>2.75</v>
      </c>
      <c r="M16" s="163">
        <v>655.79</v>
      </c>
      <c r="N16" s="163">
        <f>688.77+861.51+791.06+8.13+96.76+762.23+26.91+93.64+787.64+37.84+96.76+736.58+29.71+93.64</f>
        <v>5111.1800000000012</v>
      </c>
      <c r="O16" s="163">
        <f>655.79+163.09+1372.23+14.96</f>
        <v>2206.0700000000002</v>
      </c>
      <c r="P16" s="163">
        <f>N16-O16+M16</f>
        <v>3560.900000000001</v>
      </c>
      <c r="Q16" s="163">
        <f>K16+P16</f>
        <v>239456.9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63"/>
    </row>
    <row r="18" spans="1:17" ht="18.75">
      <c r="A18" s="155" t="s">
        <v>15</v>
      </c>
      <c r="B18" s="156"/>
      <c r="C18" s="148"/>
      <c r="D18" s="149"/>
      <c r="E18" s="159">
        <f>E15+E16</f>
        <v>1280000</v>
      </c>
      <c r="F18" s="159"/>
      <c r="G18" s="159"/>
      <c r="H18" s="159">
        <f t="shared" ref="H18:Q18" si="0">H15+H16</f>
        <v>472665</v>
      </c>
      <c r="I18" s="159"/>
      <c r="J18" s="159">
        <f t="shared" si="0"/>
        <v>50001</v>
      </c>
      <c r="K18" s="159">
        <f t="shared" si="0"/>
        <v>422664</v>
      </c>
      <c r="L18" s="159"/>
      <c r="M18" s="159">
        <f t="shared" si="0"/>
        <v>1192.42</v>
      </c>
      <c r="N18" s="159">
        <f t="shared" si="0"/>
        <v>9308.2099999999991</v>
      </c>
      <c r="O18" s="159">
        <f t="shared" si="0"/>
        <v>4019.9000000000005</v>
      </c>
      <c r="P18" s="159">
        <f t="shared" si="0"/>
        <v>6480.73</v>
      </c>
      <c r="Q18" s="159">
        <f t="shared" si="0"/>
        <v>429144.73</v>
      </c>
    </row>
    <row r="19" spans="1:17" ht="18.75">
      <c r="A19" s="259" t="s">
        <v>21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20.25" thickBot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59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2" t="s">
        <v>17</v>
      </c>
      <c r="B28" s="263"/>
      <c r="C28" s="264"/>
      <c r="D28" s="264"/>
      <c r="E28" s="264"/>
      <c r="F28" s="265"/>
      <c r="G28" s="174"/>
      <c r="H28" s="175">
        <f>H18+H24</f>
        <v>472665</v>
      </c>
      <c r="I28" s="175">
        <f>I18+I24</f>
        <v>0</v>
      </c>
      <c r="J28" s="176">
        <f>J18+J24</f>
        <v>50001</v>
      </c>
      <c r="K28" s="176">
        <f>K18+K24</f>
        <v>422664</v>
      </c>
      <c r="L28" s="58"/>
      <c r="M28" s="176">
        <f>M18+M24</f>
        <v>1192.42</v>
      </c>
      <c r="N28" s="176">
        <f>N18+N24</f>
        <v>9308.2099999999991</v>
      </c>
      <c r="O28" s="176">
        <f>O18+O24</f>
        <v>4019.9000000000005</v>
      </c>
      <c r="P28" s="176">
        <f>P18+P24</f>
        <v>6480.73</v>
      </c>
      <c r="Q28" s="176">
        <f>Q18+Q24</f>
        <v>429144.73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55" t="s">
        <v>61</v>
      </c>
      <c r="C31" s="266"/>
      <c r="D31" s="266"/>
      <c r="E31" s="267"/>
      <c r="F31" s="268"/>
      <c r="G31" s="268"/>
      <c r="H31" s="269"/>
      <c r="I31" s="256"/>
      <c r="J31" s="256"/>
      <c r="K31" s="256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55" t="s">
        <v>73</v>
      </c>
      <c r="C34" s="256"/>
      <c r="D34" s="256"/>
      <c r="E34" s="256"/>
      <c r="F34" s="256"/>
      <c r="G34" s="256"/>
      <c r="H34" s="256"/>
      <c r="I34" s="256"/>
      <c r="J34" s="256"/>
      <c r="K34" s="256"/>
      <c r="L34" s="130"/>
      <c r="M34" s="130"/>
      <c r="N34" s="130"/>
      <c r="O34" s="130"/>
      <c r="P34" s="130"/>
      <c r="Q34" s="130"/>
    </row>
    <row r="36" spans="1:17">
      <c r="B36" t="s">
        <v>59</v>
      </c>
      <c r="J36" t="s">
        <v>60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39" right="0.27" top="0.31496062992125984" bottom="0.31496062992125984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zoomScaleNormal="100" workbookViewId="0">
      <selection activeCell="N16" sqref="N16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14.42578125" customWidth="1"/>
    <col min="15" max="15" width="14" customWidth="1"/>
    <col min="16" max="16" width="13.85546875" customWidth="1"/>
    <col min="17" max="17" width="16.85546875" customWidth="1"/>
  </cols>
  <sheetData>
    <row r="1" spans="1:17" ht="20.25">
      <c r="A1" s="247" t="s">
        <v>69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9"/>
      <c r="P1" s="249"/>
      <c r="Q1" s="249"/>
    </row>
    <row r="2" spans="1:17" ht="20.25">
      <c r="A2" s="74"/>
      <c r="B2" s="75"/>
      <c r="C2" s="75"/>
      <c r="D2" s="276" t="s">
        <v>91</v>
      </c>
      <c r="E2" s="277"/>
      <c r="F2" s="277"/>
      <c r="G2" s="277"/>
      <c r="H2" s="277"/>
      <c r="I2" s="277"/>
      <c r="J2" s="277"/>
      <c r="K2" s="277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52" t="s">
        <v>22</v>
      </c>
      <c r="O3" s="252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53"/>
      <c r="G5" s="253"/>
      <c r="H5" s="253"/>
      <c r="I5" s="253"/>
      <c r="J5" s="253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6" t="s">
        <v>19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34" t="s">
        <v>20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62</v>
      </c>
      <c r="D16" s="93" t="s">
        <v>32</v>
      </c>
      <c r="E16" s="103">
        <v>500000</v>
      </c>
      <c r="F16" s="104">
        <v>42819</v>
      </c>
      <c r="G16" s="108" t="s">
        <v>43</v>
      </c>
      <c r="H16" s="97">
        <f>Лист2!H19+Лист3!H30+Лист4!H28+Лист5!H28+Лист6!H28</f>
        <v>4122665</v>
      </c>
      <c r="I16" s="97">
        <f>Лист2!I19+Лист3!I30+Лист4!I28+Лист5!I28+Лист6!I28</f>
        <v>0</v>
      </c>
      <c r="J16" s="97">
        <f>Лист2!J19+Лист3!J30+Лист4!J28+Лист5!J28+Лист6!J28</f>
        <v>314501</v>
      </c>
      <c r="K16" s="97">
        <f>Лист2!K19+Лист3!K30+Лист4!K28+Лист5!K28+Лист6!K28</f>
        <v>3808164</v>
      </c>
      <c r="L16" s="97">
        <f>Лист2!L19+Лист3!L30+Лист4!L28+Лист5!L28+Лист6!L28</f>
        <v>0</v>
      </c>
      <c r="M16" s="107">
        <f>Лист2!M19+Лист3!M30+Лист4!M28+Лист5!M28+Лист6!M28</f>
        <v>7768.18</v>
      </c>
      <c r="N16" s="107">
        <f>Лист2!N19+Лист3!N30+Лист4!N28+Лист5!N28+Лист6!N28</f>
        <v>81757.330000000016</v>
      </c>
      <c r="O16" s="107">
        <f>Лист2!O19+Лист3!O30+Лист4!O28+Лист5!O28+Лист6!O28</f>
        <v>33687.11</v>
      </c>
      <c r="P16" s="107">
        <f>M16+N16-O16</f>
        <v>55838.400000000009</v>
      </c>
      <c r="Q16" s="107">
        <f>K16+P16</f>
        <v>3864002.4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4122665</v>
      </c>
      <c r="I19" s="103">
        <f t="shared" si="0"/>
        <v>0</v>
      </c>
      <c r="J19" s="103">
        <f t="shared" si="0"/>
        <v>314501</v>
      </c>
      <c r="K19" s="103">
        <f t="shared" si="0"/>
        <v>3808164</v>
      </c>
      <c r="L19" s="103">
        <f t="shared" si="0"/>
        <v>0</v>
      </c>
      <c r="M19" s="103">
        <f t="shared" si="0"/>
        <v>7768.18</v>
      </c>
      <c r="N19" s="103">
        <f t="shared" si="0"/>
        <v>81757.330000000016</v>
      </c>
      <c r="O19" s="103">
        <f t="shared" si="0"/>
        <v>33687.11</v>
      </c>
      <c r="P19" s="103">
        <f t="shared" si="0"/>
        <v>55838.400000000009</v>
      </c>
      <c r="Q19" s="103">
        <f t="shared" si="0"/>
        <v>3864002.4</v>
      </c>
    </row>
    <row r="20" spans="1:17" ht="20.25">
      <c r="A20" s="236" t="s">
        <v>21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36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17" t="s">
        <v>17</v>
      </c>
      <c r="B29" s="218"/>
      <c r="C29" s="219"/>
      <c r="D29" s="219"/>
      <c r="E29" s="219"/>
      <c r="F29" s="220"/>
      <c r="G29" s="23"/>
      <c r="H29" s="57">
        <f>H19+H25</f>
        <v>4122665</v>
      </c>
      <c r="I29" s="57">
        <f>I19+I25</f>
        <v>0</v>
      </c>
      <c r="J29" s="56">
        <f>J19+J25</f>
        <v>314501</v>
      </c>
      <c r="K29" s="56">
        <f>K19+K25</f>
        <v>3808164</v>
      </c>
      <c r="L29" s="58"/>
      <c r="M29" s="56">
        <f>M19+M25</f>
        <v>7768.18</v>
      </c>
      <c r="N29" s="56">
        <f>N19+N25</f>
        <v>81757.330000000016</v>
      </c>
      <c r="O29" s="56">
        <f>O19+O25</f>
        <v>33687.11</v>
      </c>
      <c r="P29" s="56">
        <f>P19+P25</f>
        <v>55838.400000000009</v>
      </c>
      <c r="Q29" s="56">
        <f>Q19+Q25</f>
        <v>3864002.4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2016-05-20T10:42:38Z</cp:lastPrinted>
  <dcterms:created xsi:type="dcterms:W3CDTF">2006-06-05T06:40:26Z</dcterms:created>
  <dcterms:modified xsi:type="dcterms:W3CDTF">2016-08-02T06:37:19Z</dcterms:modified>
</cp:coreProperties>
</file>