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33" i="1"/>
  <c r="N32"/>
  <c r="N31"/>
  <c r="N29"/>
  <c r="N28"/>
  <c r="N27"/>
  <c r="N26"/>
  <c r="J41"/>
  <c r="N15" i="5"/>
  <c r="N17" i="3" l="1"/>
  <c r="N16" i="6" l="1"/>
  <c r="N15"/>
  <c r="N15" i="4"/>
  <c r="N16" i="3"/>
  <c r="N18" i="2"/>
  <c r="N16"/>
  <c r="N17"/>
  <c r="O18" l="1"/>
  <c r="O17"/>
  <c r="O16" i="3"/>
  <c r="O17"/>
  <c r="O35" i="1" l="1"/>
  <c r="N35"/>
  <c r="P34"/>
  <c r="Q34" s="1"/>
  <c r="K35"/>
  <c r="K34"/>
  <c r="E35"/>
  <c r="J16" i="3"/>
  <c r="J17"/>
  <c r="J19" i="2"/>
  <c r="N43" i="1"/>
  <c r="N42"/>
  <c r="N41"/>
  <c r="O43"/>
  <c r="O42"/>
  <c r="O41"/>
  <c r="O33"/>
  <c r="O32"/>
  <c r="O31"/>
  <c r="O29"/>
  <c r="O28"/>
  <c r="O27"/>
  <c r="O26"/>
  <c r="J27"/>
  <c r="J26"/>
  <c r="J20" i="3" l="1"/>
  <c r="J33" i="1" l="1"/>
  <c r="O30" l="1"/>
  <c r="L20" i="3" l="1"/>
  <c r="M20"/>
  <c r="N20"/>
  <c r="O20"/>
  <c r="H19" i="2" l="1"/>
  <c r="P17" i="3"/>
  <c r="M19" i="2" l="1"/>
  <c r="M30" i="3"/>
  <c r="M35" i="1"/>
  <c r="H44"/>
  <c r="P31" l="1"/>
  <c r="P32"/>
  <c r="P33"/>
  <c r="O19" i="2"/>
  <c r="N19"/>
  <c r="I19" l="1"/>
  <c r="K18"/>
  <c r="K17" i="3"/>
  <c r="H20"/>
  <c r="E20"/>
  <c r="P18" i="2"/>
  <c r="Q17" i="3" l="1"/>
  <c r="Q18" i="2"/>
  <c r="O44" i="1" l="1"/>
  <c r="N44"/>
  <c r="H35"/>
  <c r="K33"/>
  <c r="Q33" s="1"/>
  <c r="K32"/>
  <c r="Q32" s="1"/>
  <c r="K31" l="1"/>
  <c r="Q31" s="1"/>
  <c r="P43"/>
  <c r="K43"/>
  <c r="I44"/>
  <c r="P29"/>
  <c r="P30"/>
  <c r="Q43" l="1"/>
  <c r="K29" l="1"/>
  <c r="Q29" s="1"/>
  <c r="K30"/>
  <c r="Q30" l="1"/>
  <c r="P42" l="1"/>
  <c r="K42"/>
  <c r="E44"/>
  <c r="J35" l="1"/>
  <c r="Q42"/>
  <c r="P28"/>
  <c r="K28" l="1"/>
  <c r="Q28" l="1"/>
  <c r="J44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E19" i="2"/>
  <c r="P41" i="1" l="1"/>
  <c r="P44" s="1"/>
  <c r="P27"/>
  <c r="K27" l="1"/>
  <c r="Q27" l="1"/>
  <c r="K41"/>
  <c r="Q41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M48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P35" s="1"/>
  <c r="Q35" s="1"/>
  <c r="K26"/>
  <c r="Q26" l="1"/>
  <c r="K44" l="1"/>
  <c r="Q44" l="1"/>
  <c r="P25"/>
  <c r="P15" i="6"/>
  <c r="Q15" l="1"/>
  <c r="Q18" s="1"/>
  <c r="P18"/>
  <c r="K25" i="1"/>
  <c r="Q25" s="1"/>
  <c r="P24" l="1"/>
  <c r="I48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8"/>
  <c r="P38"/>
  <c r="N28" i="5"/>
  <c r="N28" i="4"/>
  <c r="N29" i="2"/>
  <c r="O28" i="5"/>
  <c r="H16" i="7" l="1"/>
  <c r="H19" s="1"/>
  <c r="H29" s="1"/>
  <c r="K48" i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8"/>
  <c r="Q20"/>
  <c r="Q16"/>
  <c r="Q38"/>
  <c r="K28" i="5"/>
  <c r="H28" i="6"/>
  <c r="J28"/>
  <c r="P29" i="2"/>
  <c r="Q24" i="1"/>
  <c r="P28" i="5"/>
  <c r="J28"/>
  <c r="P23" i="1"/>
  <c r="O48"/>
  <c r="J48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8" i="1"/>
  <c r="P16" i="7" l="1"/>
  <c r="P19" s="1"/>
  <c r="P29" s="1"/>
  <c r="P48" i="1"/>
  <c r="Q48"/>
  <c r="Q16" i="7" l="1"/>
  <c r="Q19" s="1"/>
  <c r="Q29" s="1"/>
</calcChain>
</file>

<file path=xl/sharedStrings.xml><?xml version="1.0" encoding="utf-8"?>
<sst xmlns="http://schemas.openxmlformats.org/spreadsheetml/2006/main" count="318" uniqueCount="93">
  <si>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</si>
  <si>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</si>
  <si>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</si>
  <si>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</si>
  <si>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</si>
  <si>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</si>
  <si>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</si>
  <si>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</si>
  <si>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</si>
  <si>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</si>
  <si>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</si>
  <si>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</si>
  <si>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</si>
  <si>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</si>
  <si>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</si>
  <si>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</si>
  <si>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</si>
  <si>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</si>
  <si>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</si>
  <si>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</si>
  <si>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</si>
  <si>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</si>
  <si>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</si>
  <si>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</si>
  <si>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</si>
  <si>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</si>
  <si>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</si>
  <si>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</si>
  <si>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</si>
  <si>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</si>
  <si>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</si>
  <si>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</si>
  <si>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</si>
  <si>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</si>
  <si>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</si>
  <si>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</si>
  <si>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</si>
  <si>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</si>
  <si>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</si>
  <si>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</si>
  <si>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</si>
  <si>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</si>
  <si>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</si>
  <si>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</si>
  <si>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</si>
  <si>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</si>
  <si>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</si>
  <si>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</si>
  <si>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</si>
  <si>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</si>
  <si>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</si>
  <si>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</si>
  <si>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</si>
  <si>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</si>
  <si>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</si>
  <si>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</si>
  <si>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</si>
  <si>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</si>
  <si>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</si>
  <si>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</si>
  <si>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</si>
  <si>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</si>
  <si>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</si>
  <si>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</si>
  <si>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</si>
  <si>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</si>
  <si>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</si>
  <si>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</si>
  <si>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</si>
  <si>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</si>
  <si>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</si>
  <si>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</si>
  <si>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</si>
  <si>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</si>
  <si>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</si>
  <si>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</si>
  <si>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</si>
  <si>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</si>
  <si>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</si>
  <si>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</si>
  <si>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</si>
  <si>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</si>
  <si>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</si>
  <si>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</si>
  <si>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</si>
  <si>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</si>
  <si>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по состоянию на 01  июня 2016 года</t>
  </si>
  <si>
    <t>по состоянию на 01  июня   2016 года</t>
  </si>
  <si>
    <t>Договор №5-АПМР от 26.12.2013</t>
  </si>
  <si>
    <t>по состоянию на 01 июня  2016 года</t>
  </si>
  <si>
    <t>по состоянию на 01 июня 2016 года</t>
  </si>
  <si>
    <t>по состоянию на 01  июня  2016 года</t>
  </si>
  <si>
    <t>Договор  N13-1/16 от  25.05.2016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</si>
</sst>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E23" zoomScaleNormal="75" workbookViewId="0">
      <selection activeCell="N35" sqref="N35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2.14062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86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4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4" si="1">H20+I20-J20</f>
        <v>0</v>
      </c>
      <c r="L20" s="52"/>
      <c r="M20" s="50"/>
      <c r="N20" s="50"/>
      <c r="O20" s="50"/>
      <c r="P20" s="50">
        <f t="shared" ref="P20:P34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</f>
        <v>44644.250000000007</v>
      </c>
      <c r="O26" s="50">
        <f>687.49+17430.31+6473.79+86.66+3265.19+9221.85+7819.28</f>
        <v>44984.57</v>
      </c>
      <c r="P26" s="50">
        <f t="shared" si="2"/>
        <v>6907.6200000000072</v>
      </c>
      <c r="Q26" s="50">
        <f t="shared" si="0"/>
        <v>2106907.62</v>
      </c>
    </row>
    <row r="27" spans="1:17" s="3" customFormat="1" ht="30.75" customHeight="1">
      <c r="A27" s="61"/>
      <c r="B27" s="62" t="s">
        <v>24</v>
      </c>
      <c r="C27" s="30" t="s">
        <v>79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</f>
        <v>43003.97</v>
      </c>
      <c r="O27" s="50">
        <f>6464.38+9322.65+252.38+8113.29+8771.03+8330.22</f>
        <v>41253.949999999997</v>
      </c>
      <c r="P27" s="50">
        <f t="shared" si="2"/>
        <v>8440.4300000000039</v>
      </c>
      <c r="Q27" s="50">
        <f t="shared" si="0"/>
        <v>2708440.43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</f>
        <v>152278.26</v>
      </c>
      <c r="O28" s="50">
        <f>21849.32+31056.75+753.42+29053.09+31056.75+30054.92</f>
        <v>143824.25</v>
      </c>
      <c r="P28" s="50">
        <f t="shared" si="2"/>
        <v>31056.750000000011</v>
      </c>
      <c r="Q28" s="50">
        <f t="shared" si="0"/>
        <v>10031056.75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</f>
        <v>106594.76000000001</v>
      </c>
      <c r="O29" s="50">
        <f>16349.32+11.17+21739.72+20337.16+21739.72+21038.44</f>
        <v>101215.53</v>
      </c>
      <c r="P29" s="50">
        <f t="shared" si="2"/>
        <v>21739.720000000008</v>
      </c>
      <c r="Q29" s="50">
        <f t="shared" si="0"/>
        <v>7021739.7199999997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85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</f>
        <v>45683.47</v>
      </c>
      <c r="O31" s="50">
        <f>3164.38+9317.02+8715.93+9317.02+9016.48</f>
        <v>39530.83</v>
      </c>
      <c r="P31" s="50">
        <f t="shared" si="2"/>
        <v>9317.02</v>
      </c>
      <c r="Q31" s="50">
        <f t="shared" si="0"/>
        <v>3009317.02</v>
      </c>
    </row>
    <row r="32" spans="1:17" s="3" customFormat="1" ht="30.75" customHeight="1">
      <c r="A32" s="61"/>
      <c r="B32" s="62" t="s">
        <v>24</v>
      </c>
      <c r="C32" s="30" t="s">
        <v>83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</f>
        <v>135527.66</v>
      </c>
      <c r="O32" s="50">
        <f>4693.84+27640.51+25857.25+27640.51+26748.88</f>
        <v>112580.99</v>
      </c>
      <c r="P32" s="50">
        <f t="shared" si="2"/>
        <v>27640.51</v>
      </c>
      <c r="Q32" s="50">
        <f t="shared" si="0"/>
        <v>8927640.5099999998</v>
      </c>
    </row>
    <row r="33" spans="1:17" s="3" customFormat="1" ht="30.75" customHeight="1">
      <c r="A33" s="61"/>
      <c r="B33" s="62" t="s">
        <v>24</v>
      </c>
      <c r="C33" s="30" t="s">
        <v>84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</f>
        <v>50294.8</v>
      </c>
      <c r="O33" s="50">
        <f>2109.59+11989.01+10153.35+9818.94+9016.48</f>
        <v>43087.369999999995</v>
      </c>
      <c r="P33" s="50">
        <f t="shared" si="2"/>
        <v>9317.0200000000077</v>
      </c>
      <c r="Q33" s="50">
        <f t="shared" si="0"/>
        <v>3009317.02</v>
      </c>
    </row>
    <row r="34" spans="1:17" s="3" customFormat="1" ht="30.75" customHeight="1">
      <c r="A34" s="61"/>
      <c r="B34" s="62" t="s">
        <v>24</v>
      </c>
      <c r="C34" s="30" t="s">
        <v>92</v>
      </c>
      <c r="D34" s="31" t="s">
        <v>26</v>
      </c>
      <c r="E34" s="47">
        <v>5000000</v>
      </c>
      <c r="F34" s="48"/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v>1001.83</v>
      </c>
      <c r="O34" s="50"/>
      <c r="P34" s="50">
        <f t="shared" si="2"/>
        <v>1001.83</v>
      </c>
      <c r="Q34" s="50">
        <f t="shared" si="0"/>
        <v>5001001.83</v>
      </c>
    </row>
    <row r="35" spans="1:17" s="3" customFormat="1" ht="18.75" customHeight="1">
      <c r="A35" s="44" t="s">
        <v>15</v>
      </c>
      <c r="B35" s="45"/>
      <c r="C35" s="30"/>
      <c r="D35" s="31"/>
      <c r="E35" s="47">
        <f>E21+E22+E23+E24+E25+E26+E29+E30+E31+E32+E33+E34</f>
        <v>53680000</v>
      </c>
      <c r="F35" s="47"/>
      <c r="G35" s="47"/>
      <c r="H35" s="47">
        <f>H21+H22+H23+H24+H25+H26+H27+H28+H29+H30+H31+H32+H33</f>
        <v>39350000</v>
      </c>
      <c r="I35" s="47">
        <v>5000000</v>
      </c>
      <c r="J35" s="47">
        <f>J21+J22+J23+J24+J25+J26+J27+J28+J29+J30+J31+J32+J33</f>
        <v>2650000</v>
      </c>
      <c r="K35" s="47">
        <f>K21+K22+K23+K24+K25+K26+K27+K28+K29+K30+K31+K32+K33+K34</f>
        <v>41700000</v>
      </c>
      <c r="L35" s="47"/>
      <c r="M35" s="47">
        <f>M21+M22+M23+M24+M25+M26+M27+M28+M29+M30+M31+M32+M33</f>
        <v>81607.23</v>
      </c>
      <c r="N35" s="47">
        <f>N21+N22+N23+N24+N25+N26+N27+N28+N29+N30+N31+N32+N33+N34</f>
        <v>579029</v>
      </c>
      <c r="O35" s="47">
        <f>O24+O25+O26+O27+O28+O29+O30+O31+O32+O33+O23+O34</f>
        <v>545215.32999999996</v>
      </c>
      <c r="P35" s="47">
        <f>P21+P22+P23+P24+P25+P26+P27+P28+P29+P30+P31+P32+P33+P34</f>
        <v>115420.90000000002</v>
      </c>
      <c r="Q35" s="186">
        <f>K35+P35</f>
        <v>41815420.899999999</v>
      </c>
    </row>
    <row r="36" spans="1:17" s="3" customFormat="1" ht="20.25" customHeight="1">
      <c r="A36" s="215" t="s">
        <v>21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Q36" s="40"/>
    </row>
    <row r="37" spans="1:17" s="3" customFormat="1" ht="48.75" hidden="1" customHeight="1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Q37" s="40"/>
    </row>
    <row r="38" spans="1:17" s="3" customFormat="1" ht="0.75" hidden="1" customHeight="1">
      <c r="A38" s="67"/>
      <c r="B38" s="202" t="s">
        <v>34</v>
      </c>
      <c r="C38" s="203" t="s">
        <v>30</v>
      </c>
      <c r="D38" s="31" t="s">
        <v>31</v>
      </c>
      <c r="E38" s="32">
        <v>3200000</v>
      </c>
      <c r="F38" s="48">
        <v>40619</v>
      </c>
      <c r="G38" s="34"/>
      <c r="H38" s="35"/>
      <c r="I38" s="36"/>
      <c r="J38" s="69"/>
      <c r="K38" s="50">
        <f>H38-J38</f>
        <v>0</v>
      </c>
      <c r="L38" s="36">
        <v>16</v>
      </c>
      <c r="M38" s="36"/>
      <c r="N38" s="50"/>
      <c r="O38" s="50"/>
      <c r="P38" s="47">
        <f>N38-O38</f>
        <v>0</v>
      </c>
      <c r="Q38" s="50">
        <f>K38+P38</f>
        <v>0</v>
      </c>
    </row>
    <row r="39" spans="1:17" s="3" customFormat="1" ht="36.75" hidden="1" customHeight="1">
      <c r="A39" s="28"/>
      <c r="B39" s="204" t="s">
        <v>34</v>
      </c>
      <c r="C39" s="30" t="s">
        <v>68</v>
      </c>
      <c r="D39" s="31"/>
      <c r="E39" s="32"/>
      <c r="F39" s="48"/>
      <c r="G39" s="34"/>
      <c r="H39" s="35"/>
      <c r="I39" s="36"/>
      <c r="J39" s="69"/>
      <c r="K39" s="36"/>
      <c r="L39" s="36"/>
      <c r="M39" s="36"/>
      <c r="N39" s="50"/>
      <c r="O39" s="50"/>
      <c r="P39" s="47"/>
      <c r="Q39" s="50"/>
    </row>
    <row r="40" spans="1:17" s="3" customFormat="1" ht="41.25" hidden="1" customHeight="1">
      <c r="A40" s="28"/>
      <c r="B40" s="204" t="s">
        <v>37</v>
      </c>
      <c r="C40" s="30" t="s">
        <v>48</v>
      </c>
      <c r="D40" s="31"/>
      <c r="E40" s="32"/>
      <c r="F40" s="48"/>
      <c r="G40" s="34"/>
      <c r="H40" s="35"/>
      <c r="I40" s="36"/>
      <c r="J40" s="69"/>
      <c r="K40" s="50"/>
      <c r="L40" s="50"/>
      <c r="M40" s="36"/>
      <c r="N40" s="50"/>
      <c r="O40" s="50"/>
      <c r="P40" s="47"/>
      <c r="Q40" s="50"/>
    </row>
    <row r="41" spans="1:17" s="3" customFormat="1" ht="53.25" customHeight="1">
      <c r="A41" s="28"/>
      <c r="B41" s="204" t="s">
        <v>37</v>
      </c>
      <c r="C41" s="30" t="s">
        <v>66</v>
      </c>
      <c r="D41" s="31" t="s">
        <v>67</v>
      </c>
      <c r="E41" s="32">
        <v>8000000</v>
      </c>
      <c r="F41" s="48">
        <v>42524</v>
      </c>
      <c r="G41" s="34"/>
      <c r="H41" s="35">
        <v>3537000</v>
      </c>
      <c r="I41" s="36"/>
      <c r="J41" s="69">
        <f>708000</f>
        <v>708000</v>
      </c>
      <c r="K41" s="50">
        <f>I41-J41+H41</f>
        <v>2829000</v>
      </c>
      <c r="L41" s="50">
        <v>13.3</v>
      </c>
      <c r="M41" s="36"/>
      <c r="N41" s="50">
        <f>38558.01+29812.71+31868.76+30840.74+31868.76</f>
        <v>162948.98000000001</v>
      </c>
      <c r="O41" s="50">
        <f>38558.01+29812.71+31868.76+30840.74+31868.76</f>
        <v>162948.98000000001</v>
      </c>
      <c r="P41" s="47">
        <f>N41-O41</f>
        <v>0</v>
      </c>
      <c r="Q41" s="50">
        <f>K41+P41</f>
        <v>2829000</v>
      </c>
    </row>
    <row r="42" spans="1:17" s="3" customFormat="1" ht="39.75" customHeight="1">
      <c r="A42" s="28"/>
      <c r="B42" s="204" t="s">
        <v>37</v>
      </c>
      <c r="C42" s="30" t="s">
        <v>71</v>
      </c>
      <c r="D42" s="31" t="s">
        <v>67</v>
      </c>
      <c r="E42" s="32">
        <v>11000000</v>
      </c>
      <c r="F42" s="48">
        <v>42944</v>
      </c>
      <c r="G42" s="34"/>
      <c r="H42" s="35">
        <v>11000000</v>
      </c>
      <c r="I42" s="36">
        <v>0</v>
      </c>
      <c r="J42" s="69">
        <v>0</v>
      </c>
      <c r="K42" s="50">
        <f>I42-J42+H42</f>
        <v>11000000</v>
      </c>
      <c r="L42" s="50">
        <v>15.8</v>
      </c>
      <c r="M42" s="36"/>
      <c r="N42" s="50">
        <f>147207.65+137710.38+147207.65+142459.01+147207.66</f>
        <v>721792.35000000009</v>
      </c>
      <c r="O42" s="50">
        <f>147207.65+137710.38+147207.65+142459.01+147207.66</f>
        <v>721792.35000000009</v>
      </c>
      <c r="P42" s="47">
        <f>N42-O42</f>
        <v>0</v>
      </c>
      <c r="Q42" s="50">
        <f>K42+P42</f>
        <v>11000000</v>
      </c>
    </row>
    <row r="43" spans="1:17" s="3" customFormat="1" ht="45" customHeight="1">
      <c r="A43" s="205"/>
      <c r="B43" s="204" t="s">
        <v>37</v>
      </c>
      <c r="C43" s="30" t="s">
        <v>80</v>
      </c>
      <c r="D43" s="31" t="s">
        <v>67</v>
      </c>
      <c r="E43" s="32"/>
      <c r="F43" s="48">
        <v>43075</v>
      </c>
      <c r="G43" s="34"/>
      <c r="H43" s="35">
        <v>8000000</v>
      </c>
      <c r="I43" s="36">
        <v>0</v>
      </c>
      <c r="J43" s="69"/>
      <c r="K43" s="50">
        <f>I43-J43+H43</f>
        <v>8000000</v>
      </c>
      <c r="L43" s="50">
        <v>13.47</v>
      </c>
      <c r="M43" s="36"/>
      <c r="N43" s="50">
        <f>91290.43+85400.72+91290.43+88345.57+91290.43</f>
        <v>447617.57999999996</v>
      </c>
      <c r="O43" s="50">
        <f>176691.15+91290.43+88345.57+91290.43</f>
        <v>447617.57999999996</v>
      </c>
      <c r="P43" s="47">
        <f>N43-O43</f>
        <v>0</v>
      </c>
      <c r="Q43" s="50">
        <f>K43+P43</f>
        <v>8000000</v>
      </c>
    </row>
    <row r="44" spans="1:17" s="3" customFormat="1" ht="15" customHeight="1">
      <c r="A44" s="68" t="s">
        <v>15</v>
      </c>
      <c r="B44" s="45"/>
      <c r="C44" s="30"/>
      <c r="D44" s="31"/>
      <c r="E44" s="32">
        <f>E40+E41+E41+E42</f>
        <v>27000000</v>
      </c>
      <c r="F44" s="32"/>
      <c r="G44" s="32"/>
      <c r="H44" s="200">
        <f>H40+H41+H42+H43</f>
        <v>22537000</v>
      </c>
      <c r="I44" s="200">
        <f>I40+I41+I42+I43</f>
        <v>0</v>
      </c>
      <c r="J44" s="47">
        <f>J40+J41+J42+J43</f>
        <v>708000</v>
      </c>
      <c r="K44" s="47">
        <f>K40+K41+K42+K43</f>
        <v>21829000</v>
      </c>
      <c r="L44" s="32"/>
      <c r="M44" s="32"/>
      <c r="N44" s="47">
        <f>N40+N41+N39+N42+N43</f>
        <v>1332358.9100000001</v>
      </c>
      <c r="O44" s="47">
        <f>O40+O41+O39+O42+O43</f>
        <v>1332358.9100000001</v>
      </c>
      <c r="P44" s="47">
        <f>P40+P41+P39+P42+P43</f>
        <v>0</v>
      </c>
      <c r="Q44" s="47">
        <f>Q40+Q41+Q42+Q43</f>
        <v>21829000</v>
      </c>
    </row>
    <row r="45" spans="1:17" s="3" customFormat="1" ht="10.5" customHeight="1">
      <c r="A45" s="21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Q45" s="40"/>
    </row>
    <row r="46" spans="1:17" s="3" customFormat="1" ht="10.5" customHeight="1">
      <c r="A46" s="28"/>
      <c r="B46" s="29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3" customFormat="1" ht="12.75" customHeight="1">
      <c r="A47" s="44" t="s">
        <v>15</v>
      </c>
      <c r="B47" s="45"/>
      <c r="C47" s="30"/>
      <c r="D47" s="31"/>
      <c r="E47" s="32"/>
      <c r="F47" s="33"/>
      <c r="G47" s="34"/>
      <c r="H47" s="35"/>
      <c r="I47" s="36"/>
      <c r="J47" s="37"/>
      <c r="K47" s="36"/>
      <c r="L47" s="36"/>
      <c r="M47" s="36"/>
      <c r="N47" s="36"/>
      <c r="O47" s="36"/>
      <c r="P47" s="36"/>
      <c r="Q47" s="36"/>
    </row>
    <row r="48" spans="1:17" s="24" customFormat="1" ht="23.25" customHeight="1">
      <c r="A48" s="217" t="s">
        <v>17</v>
      </c>
      <c r="B48" s="218"/>
      <c r="C48" s="219"/>
      <c r="D48" s="219"/>
      <c r="E48" s="219"/>
      <c r="F48" s="220"/>
      <c r="G48" s="23"/>
      <c r="H48" s="57">
        <f>H35+H44</f>
        <v>61887000</v>
      </c>
      <c r="I48" s="57">
        <f>I35+I44</f>
        <v>5000000</v>
      </c>
      <c r="J48" s="56">
        <f>J35+J44</f>
        <v>3358000</v>
      </c>
      <c r="K48" s="56">
        <f>K35+K44</f>
        <v>63529000</v>
      </c>
      <c r="L48" s="58"/>
      <c r="M48" s="56">
        <f>M35+M44</f>
        <v>81607.23</v>
      </c>
      <c r="N48" s="56">
        <f>N35+N44</f>
        <v>1911387.9100000001</v>
      </c>
      <c r="O48" s="56">
        <f>O35+O44</f>
        <v>1877574.2400000002</v>
      </c>
      <c r="P48" s="56">
        <f>P35+P44</f>
        <v>115420.90000000002</v>
      </c>
      <c r="Q48" s="187">
        <f>Q35+Q44</f>
        <v>63644420.899999999</v>
      </c>
    </row>
    <row r="49" spans="1:17" ht="10.5" customHeight="1">
      <c r="A49" s="18"/>
      <c r="B49" s="25"/>
      <c r="C49" s="19"/>
      <c r="D49" s="19"/>
      <c r="E49" s="20"/>
      <c r="F49" s="22"/>
      <c r="G49" s="22"/>
      <c r="H49" s="26"/>
      <c r="I49" s="27"/>
      <c r="J49" s="27"/>
      <c r="K49" s="26"/>
      <c r="L49" s="26"/>
      <c r="M49" s="26"/>
      <c r="N49" s="26"/>
      <c r="O49" s="26"/>
      <c r="P49" s="26"/>
      <c r="Q49" s="26"/>
    </row>
    <row r="50" spans="1:17">
      <c r="N50" s="71"/>
    </row>
    <row r="51" spans="1:17" ht="17.25" customHeight="1">
      <c r="B51" s="207" t="s">
        <v>50</v>
      </c>
      <c r="C51" s="208"/>
      <c r="D51" s="208"/>
      <c r="E51" s="209"/>
      <c r="F51" s="210"/>
      <c r="G51" s="210"/>
      <c r="H51" s="211"/>
      <c r="I51" s="212"/>
      <c r="J51" s="212"/>
      <c r="K51" s="212"/>
    </row>
    <row r="54" spans="1:17" ht="15.75">
      <c r="B54" s="207" t="s">
        <v>74</v>
      </c>
      <c r="C54" s="213"/>
      <c r="D54" s="213"/>
      <c r="E54" s="213"/>
      <c r="F54" s="213"/>
      <c r="G54" s="213"/>
      <c r="H54" s="213"/>
      <c r="I54" s="213"/>
      <c r="J54" s="213"/>
      <c r="K54" s="213"/>
    </row>
    <row r="56" spans="1:17" ht="25.5">
      <c r="B56" s="201"/>
      <c r="C56" s="5" t="s">
        <v>27</v>
      </c>
    </row>
    <row r="68" spans="3:3" ht="16.5" customHeight="1"/>
    <row r="69" spans="3:3" ht="30" customHeight="1">
      <c r="C69" s="21"/>
    </row>
  </sheetData>
  <mergeCells count="12">
    <mergeCell ref="B51:K51"/>
    <mergeCell ref="B54:K54"/>
    <mergeCell ref="L1:Q2"/>
    <mergeCell ref="A45:M45"/>
    <mergeCell ref="A48:F48"/>
    <mergeCell ref="N5:O5"/>
    <mergeCell ref="A36:M36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A4" workbookViewId="0">
      <selection activeCell="N18" sqref="N18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87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</f>
        <v>24.070000000000004</v>
      </c>
      <c r="O16" s="50">
        <v>5.92</v>
      </c>
      <c r="P16" s="50">
        <f>N16-O16+M16</f>
        <v>544.49</v>
      </c>
      <c r="Q16" s="50">
        <f>K16+P16</f>
        <v>544.49</v>
      </c>
    </row>
    <row r="17" spans="1:17" ht="105">
      <c r="A17" s="61" t="s">
        <v>51</v>
      </c>
      <c r="B17" s="29" t="s">
        <v>24</v>
      </c>
      <c r="C17" s="30" t="s">
        <v>88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v>22000</v>
      </c>
      <c r="K17" s="36">
        <f>H17-J17+I17</f>
        <v>592000</v>
      </c>
      <c r="L17" s="69">
        <f>8.25*1/3</f>
        <v>2.75</v>
      </c>
      <c r="M17" s="50">
        <v>1621.62</v>
      </c>
      <c r="N17" s="50">
        <f>1635.44+2045.35+1912.09+40.83+250.07+1912.09+82.56+250.07+1887.78+85.31+250.07</f>
        <v>10351.66</v>
      </c>
      <c r="O17" s="50">
        <f>1912.09+250.07+82.56</f>
        <v>2244.7199999999998</v>
      </c>
      <c r="P17" s="50">
        <f>N17-O17+M17</f>
        <v>9728.5600000000013</v>
      </c>
      <c r="Q17" s="50">
        <f>K17+P17</f>
        <v>601728.56000000006</v>
      </c>
    </row>
    <row r="18" spans="1:17" ht="105">
      <c r="A18" s="61"/>
      <c r="B18" s="29" t="s">
        <v>24</v>
      </c>
      <c r="C18" s="30" t="s">
        <v>82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v>33000</v>
      </c>
      <c r="K18" s="36">
        <f>H18-J18+I18</f>
        <v>1467000</v>
      </c>
      <c r="L18" s="69">
        <v>2.75</v>
      </c>
      <c r="M18" s="50">
        <v>1017.12</v>
      </c>
      <c r="N18" s="50">
        <f>3503.42+4837.32+4671.23+466.03+72.06+4520.55+451+160.24+4634.77+466.03+165.58</f>
        <v>23948.230000000003</v>
      </c>
      <c r="O18" s="50">
        <f>4520.55+451+160.24</f>
        <v>5131.79</v>
      </c>
      <c r="P18" s="50">
        <f>N18-O18+M18</f>
        <v>19833.560000000001</v>
      </c>
      <c r="Q18" s="50">
        <f>K18+P18</f>
        <v>1486833.56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>J16+J17+J18</f>
        <v>55000</v>
      </c>
      <c r="K19" s="47">
        <f>K16+K17+K18</f>
        <v>2059000</v>
      </c>
      <c r="L19" s="47"/>
      <c r="M19" s="47">
        <f>M16+M17+M18</f>
        <v>3165.08</v>
      </c>
      <c r="N19" s="47">
        <f>N16+N17+N18</f>
        <v>34323.960000000006</v>
      </c>
      <c r="O19" s="47">
        <f>O16+O17+O18</f>
        <v>7382.43</v>
      </c>
      <c r="P19" s="47">
        <f>P16+P17+P18</f>
        <v>30106.61</v>
      </c>
      <c r="Q19" s="47">
        <f>Q16+Q17+Q18</f>
        <v>2089106.61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0">I22+I23+I24</f>
        <v>0</v>
      </c>
      <c r="J25" s="36">
        <f t="shared" si="0"/>
        <v>0</v>
      </c>
      <c r="K25" s="36">
        <f t="shared" si="0"/>
        <v>0</v>
      </c>
      <c r="L25" s="36"/>
      <c r="M25" s="36">
        <f t="shared" si="0"/>
        <v>0</v>
      </c>
      <c r="N25" s="50">
        <f t="shared" si="0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2114000</v>
      </c>
      <c r="I29" s="57">
        <f>I19+I25</f>
        <v>0</v>
      </c>
      <c r="J29" s="56">
        <f>J19+J25</f>
        <v>55000</v>
      </c>
      <c r="K29" s="56">
        <f>K19+K25</f>
        <v>2059000</v>
      </c>
      <c r="L29" s="58"/>
      <c r="M29" s="57">
        <v>371.58</v>
      </c>
      <c r="N29" s="56">
        <f>N19+N25</f>
        <v>34323.960000000006</v>
      </c>
      <c r="O29" s="56">
        <f>O19+O25</f>
        <v>7382.43</v>
      </c>
      <c r="P29" s="56">
        <f>P19+P25</f>
        <v>30106.61</v>
      </c>
      <c r="Q29" s="56">
        <f>Q19+Q25</f>
        <v>2089106.61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53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72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2:K32"/>
    <mergeCell ref="B35:K35"/>
    <mergeCell ref="A10:M10"/>
    <mergeCell ref="A13:M13"/>
    <mergeCell ref="A20:M20"/>
    <mergeCell ref="A26:M26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89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</f>
        <v>56000</v>
      </c>
      <c r="K16" s="36">
        <f>H16-J16+I16</f>
        <v>150000</v>
      </c>
      <c r="L16" s="69">
        <v>2.75</v>
      </c>
      <c r="M16" s="50">
        <v>510.97</v>
      </c>
      <c r="N16" s="50">
        <f>500.12+752.48+589.48+159.13+8.47+536.44+154+14.3+517.75+159.13+5.45</f>
        <v>3396.75</v>
      </c>
      <c r="O16" s="50">
        <f>510.97+152.35+154+14.3+536.44</f>
        <v>1368.06</v>
      </c>
      <c r="P16" s="50">
        <f>M16+N16-O16</f>
        <v>2539.6600000000003</v>
      </c>
      <c r="Q16" s="50">
        <f>K16+P16</f>
        <v>152539.66</v>
      </c>
    </row>
    <row r="17" spans="1:17" ht="105">
      <c r="A17" s="28"/>
      <c r="B17" s="29" t="s">
        <v>24</v>
      </c>
      <c r="C17" s="30" t="s">
        <v>81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f>20000+20000</f>
        <v>40000</v>
      </c>
      <c r="K17" s="36">
        <f>H17-J17+I17</f>
        <v>660000</v>
      </c>
      <c r="L17" s="69">
        <v>2.75</v>
      </c>
      <c r="M17" s="50">
        <v>474.66</v>
      </c>
      <c r="N17" s="50">
        <f>1634.93+2263.33+5856.62+227.39+28.29+-1639.45+220+107.65+2091.51+227.33+23.9</f>
        <v>11041.5</v>
      </c>
      <c r="O17" s="50">
        <f>474.66+224.06+107.65+220</f>
        <v>1026.3699999999999</v>
      </c>
      <c r="P17" s="50">
        <f>M17+N17-O17</f>
        <v>10489.79</v>
      </c>
      <c r="Q17" s="50">
        <f>K17+P17</f>
        <v>670489.79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96000</v>
      </c>
      <c r="K20" s="47">
        <f t="shared" ref="K20:Q20" si="0">K16+K18+K19+K17</f>
        <v>810000</v>
      </c>
      <c r="L20" s="47">
        <f t="shared" si="0"/>
        <v>5.5</v>
      </c>
      <c r="M20" s="47">
        <f t="shared" si="0"/>
        <v>985.63000000000011</v>
      </c>
      <c r="N20" s="47">
        <f t="shared" si="0"/>
        <v>14438.25</v>
      </c>
      <c r="O20" s="47">
        <f t="shared" si="0"/>
        <v>2394.4299999999998</v>
      </c>
      <c r="P20" s="47">
        <f t="shared" si="0"/>
        <v>13029.45</v>
      </c>
      <c r="Q20" s="47">
        <f t="shared" si="0"/>
        <v>823029.45000000007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906000</v>
      </c>
      <c r="I30" s="57">
        <f>I20+I26</f>
        <v>0</v>
      </c>
      <c r="J30" s="56">
        <f>J20+J26</f>
        <v>96000</v>
      </c>
      <c r="K30" s="56">
        <f>K20+K26</f>
        <v>810000</v>
      </c>
      <c r="L30" s="58"/>
      <c r="M30" s="57">
        <f>M20</f>
        <v>985.63000000000011</v>
      </c>
      <c r="N30" s="56">
        <f>N20+N26</f>
        <v>14438.25</v>
      </c>
      <c r="O30" s="56">
        <f>O20+O26</f>
        <v>2394.4299999999998</v>
      </c>
      <c r="P30" s="56">
        <f>P20+P26</f>
        <v>13029.45</v>
      </c>
      <c r="Q30" s="56">
        <f>Q20+Q26</f>
        <v>823029.45000000007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55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73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5" sqref="N15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2" t="s">
        <v>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20.25">
      <c r="A2" s="74"/>
      <c r="B2" s="75"/>
      <c r="C2" s="75"/>
      <c r="D2" s="235" t="s">
        <v>90</v>
      </c>
      <c r="E2" s="236"/>
      <c r="F2" s="236"/>
      <c r="G2" s="236"/>
      <c r="H2" s="236"/>
      <c r="I2" s="236"/>
      <c r="J2" s="236"/>
      <c r="K2" s="236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37" t="s">
        <v>22</v>
      </c>
      <c r="O3" s="237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38"/>
      <c r="G5" s="238"/>
      <c r="H5" s="238"/>
      <c r="I5" s="238"/>
      <c r="J5" s="238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9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v>26000</v>
      </c>
      <c r="K15" s="97">
        <f>H15-J15+I15</f>
        <v>145000</v>
      </c>
      <c r="L15" s="107">
        <v>2.75</v>
      </c>
      <c r="M15" s="107">
        <v>939.82</v>
      </c>
      <c r="N15" s="107">
        <f>543.8+678.63+532.52+181.87+16.65+515.34+176+22.28+503.79+181.87+22.28</f>
        <v>3375.03</v>
      </c>
      <c r="O15" s="107">
        <v>713.62</v>
      </c>
      <c r="P15" s="107">
        <f>M15+N15-O15</f>
        <v>3601.2300000000005</v>
      </c>
      <c r="Q15" s="107">
        <f>K15+P15</f>
        <v>148601.23000000001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26000</v>
      </c>
      <c r="K18" s="103">
        <f t="shared" si="0"/>
        <v>145000</v>
      </c>
      <c r="L18" s="103"/>
      <c r="M18" s="103">
        <f t="shared" si="0"/>
        <v>939.82</v>
      </c>
      <c r="N18" s="103">
        <f t="shared" si="0"/>
        <v>3375.03</v>
      </c>
      <c r="O18" s="103">
        <f t="shared" si="0"/>
        <v>713.62</v>
      </c>
      <c r="P18" s="103">
        <f t="shared" si="0"/>
        <v>3601.2300000000005</v>
      </c>
      <c r="Q18" s="103">
        <f t="shared" si="0"/>
        <v>148601.23000000001</v>
      </c>
    </row>
    <row r="19" spans="1:17" ht="20.25">
      <c r="A19" s="239" t="s">
        <v>21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9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7" t="s">
        <v>17</v>
      </c>
      <c r="B28" s="248"/>
      <c r="C28" s="249"/>
      <c r="D28" s="249"/>
      <c r="E28" s="249"/>
      <c r="F28" s="250"/>
      <c r="G28" s="118"/>
      <c r="H28" s="119">
        <f>H18+H24</f>
        <v>171000</v>
      </c>
      <c r="I28" s="119">
        <f>I18+I24</f>
        <v>0</v>
      </c>
      <c r="J28" s="120">
        <f>J18+J24</f>
        <v>26000</v>
      </c>
      <c r="K28" s="120">
        <f>K18+K24</f>
        <v>145000</v>
      </c>
      <c r="L28" s="121"/>
      <c r="M28" s="119">
        <f>M18</f>
        <v>939.82</v>
      </c>
      <c r="N28" s="120">
        <f>N18+N24</f>
        <v>3375.03</v>
      </c>
      <c r="O28" s="120">
        <f>O18+O24</f>
        <v>713.62</v>
      </c>
      <c r="P28" s="107">
        <f>M28+N28-O28</f>
        <v>3601.2300000000005</v>
      </c>
      <c r="Q28" s="120">
        <f>Q18+Q24</f>
        <v>148601.23000000001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1" t="s">
        <v>52</v>
      </c>
      <c r="C31" s="251"/>
      <c r="D31" s="251"/>
      <c r="E31" s="252"/>
      <c r="F31" s="253"/>
      <c r="G31" s="253"/>
      <c r="H31" s="254"/>
      <c r="I31" s="242"/>
      <c r="J31" s="242"/>
      <c r="K31" s="242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1" t="s">
        <v>74</v>
      </c>
      <c r="C34" s="242"/>
      <c r="D34" s="242"/>
      <c r="E34" s="242"/>
      <c r="F34" s="242"/>
      <c r="G34" s="242"/>
      <c r="H34" s="242"/>
      <c r="I34" s="242"/>
      <c r="J34" s="242"/>
      <c r="K34" s="242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31496062992125984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55"/>
      <c r="P1" s="255"/>
      <c r="Q1" s="255"/>
    </row>
    <row r="2" spans="1:17" ht="18.75">
      <c r="A2" s="130"/>
      <c r="B2" s="131"/>
      <c r="C2" s="131"/>
      <c r="D2" s="256" t="s">
        <v>86</v>
      </c>
      <c r="E2" s="257"/>
      <c r="F2" s="257"/>
      <c r="G2" s="257"/>
      <c r="H2" s="257"/>
      <c r="I2" s="257"/>
      <c r="J2" s="257"/>
      <c r="K2" s="257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58" t="s">
        <v>22</v>
      </c>
      <c r="O3" s="258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59"/>
      <c r="G5" s="259"/>
      <c r="H5" s="259"/>
      <c r="I5" s="259"/>
      <c r="J5" s="259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1170.32+1685.32+1429.4+352.37+33.42+1383.29+341+67.72+1429.4+341+90.34</f>
        <v>8323.58</v>
      </c>
      <c r="O15" s="163">
        <v>0</v>
      </c>
      <c r="P15" s="163">
        <f>N15-O15+M15</f>
        <v>9808.81</v>
      </c>
      <c r="Q15" s="163">
        <f>K15+M15+N15-O15</f>
        <v>468808.81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8323.58</v>
      </c>
      <c r="O18" s="159">
        <f t="shared" si="0"/>
        <v>0</v>
      </c>
      <c r="P18" s="159">
        <f t="shared" si="0"/>
        <v>9808.81</v>
      </c>
      <c r="Q18" s="159">
        <f t="shared" si="0"/>
        <v>468808.81</v>
      </c>
    </row>
    <row r="19" spans="1:17" ht="18.75">
      <c r="A19" s="260" t="s">
        <v>21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8" t="s">
        <v>17</v>
      </c>
      <c r="B28" s="269"/>
      <c r="C28" s="270"/>
      <c r="D28" s="270"/>
      <c r="E28" s="270"/>
      <c r="F28" s="271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8323.58</v>
      </c>
      <c r="O28" s="176">
        <f>O18+O24</f>
        <v>0</v>
      </c>
      <c r="P28" s="176">
        <f>P18+P24</f>
        <v>9808.81</v>
      </c>
      <c r="Q28" s="176">
        <f>K28+P28</f>
        <v>468808.81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52</v>
      </c>
      <c r="C31" s="272"/>
      <c r="D31" s="272"/>
      <c r="E31" s="273"/>
      <c r="F31" s="274"/>
      <c r="G31" s="274"/>
      <c r="H31" s="275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75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7" sqref="N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55"/>
      <c r="P1" s="255"/>
      <c r="Q1" s="255"/>
    </row>
    <row r="2" spans="1:17" ht="18.75">
      <c r="A2" s="130"/>
      <c r="B2" s="131"/>
      <c r="C2" s="131"/>
      <c r="D2" s="256" t="s">
        <v>91</v>
      </c>
      <c r="E2" s="257"/>
      <c r="F2" s="257"/>
      <c r="G2" s="257"/>
      <c r="H2" s="257"/>
      <c r="I2" s="257"/>
      <c r="J2" s="257"/>
      <c r="K2" s="257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58" t="s">
        <v>22</v>
      </c>
      <c r="O3" s="258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59"/>
      <c r="G5" s="259"/>
      <c r="H5" s="259"/>
      <c r="I5" s="259"/>
      <c r="J5" s="259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v>8154</v>
      </c>
      <c r="K15" s="153">
        <f>H15-J15+I15</f>
        <v>203076</v>
      </c>
      <c r="L15" s="163">
        <v>2.75</v>
      </c>
      <c r="M15" s="163">
        <v>536.63</v>
      </c>
      <c r="N15" s="163">
        <f>567.43+709.77+635.69+9.83+92.68+612.01+22.17+89.69+632.41+31.14+92.68</f>
        <v>3495.4999999999995</v>
      </c>
      <c r="O15" s="163">
        <v>536.63</v>
      </c>
      <c r="P15" s="163">
        <f>N15-O15+M15</f>
        <v>3495.4999999999995</v>
      </c>
      <c r="Q15" s="163">
        <f>K15+P15</f>
        <v>206571.5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v>8513</v>
      </c>
      <c r="K16" s="153">
        <f>H16-J16+I16</f>
        <v>252922</v>
      </c>
      <c r="L16" s="163">
        <v>2.75</v>
      </c>
      <c r="M16" s="163">
        <v>655.79</v>
      </c>
      <c r="N16" s="163">
        <f>688.77+861.51+791.06+8.13+96.76+762.23+26.91+93.64+787.64+37.84+96.76</f>
        <v>4251.2500000000009</v>
      </c>
      <c r="O16" s="163">
        <v>655.79</v>
      </c>
      <c r="P16" s="163">
        <f>N16-O16+M16</f>
        <v>4251.2500000000009</v>
      </c>
      <c r="Q16" s="163">
        <f>K16+P16</f>
        <v>257173.25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16667</v>
      </c>
      <c r="K18" s="159">
        <f t="shared" si="0"/>
        <v>455998</v>
      </c>
      <c r="L18" s="159"/>
      <c r="M18" s="159">
        <f t="shared" si="0"/>
        <v>1192.42</v>
      </c>
      <c r="N18" s="159">
        <f t="shared" si="0"/>
        <v>7746.75</v>
      </c>
      <c r="O18" s="159">
        <f t="shared" si="0"/>
        <v>1192.42</v>
      </c>
      <c r="P18" s="159">
        <f t="shared" si="0"/>
        <v>7746.75</v>
      </c>
      <c r="Q18" s="159">
        <f t="shared" si="0"/>
        <v>463744.75</v>
      </c>
    </row>
    <row r="19" spans="1:17" ht="18.75">
      <c r="A19" s="260" t="s">
        <v>21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8" t="s">
        <v>17</v>
      </c>
      <c r="B28" s="269"/>
      <c r="C28" s="270"/>
      <c r="D28" s="270"/>
      <c r="E28" s="270"/>
      <c r="F28" s="271"/>
      <c r="G28" s="174"/>
      <c r="H28" s="175">
        <f>H18+H24</f>
        <v>472665</v>
      </c>
      <c r="I28" s="175">
        <f>I18+I24</f>
        <v>0</v>
      </c>
      <c r="J28" s="176">
        <f>J18+J24</f>
        <v>16667</v>
      </c>
      <c r="K28" s="176">
        <f>K18+K24</f>
        <v>455998</v>
      </c>
      <c r="L28" s="58"/>
      <c r="M28" s="176">
        <f>M18+M24</f>
        <v>1192.42</v>
      </c>
      <c r="N28" s="176">
        <f>N18+N24</f>
        <v>7746.75</v>
      </c>
      <c r="O28" s="176">
        <f>O18+O24</f>
        <v>1192.42</v>
      </c>
      <c r="P28" s="176">
        <f>P18+P24</f>
        <v>7746.75</v>
      </c>
      <c r="Q28" s="176">
        <f>Q18+Q24</f>
        <v>463744.75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61</v>
      </c>
      <c r="C31" s="272"/>
      <c r="D31" s="272"/>
      <c r="E31" s="273"/>
      <c r="F31" s="274"/>
      <c r="G31" s="274"/>
      <c r="H31" s="275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73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9" right="0.27" top="0.31496062992125984" bottom="0.3149606299212598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J29" sqref="J29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32" t="s">
        <v>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  <c r="P1" s="234"/>
      <c r="Q1" s="234"/>
    </row>
    <row r="2" spans="1:17" ht="20.25">
      <c r="A2" s="74"/>
      <c r="B2" s="75"/>
      <c r="C2" s="75"/>
      <c r="D2" s="276" t="s">
        <v>90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37" t="s">
        <v>22</v>
      </c>
      <c r="O3" s="237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38"/>
      <c r="G5" s="238"/>
      <c r="H5" s="238"/>
      <c r="I5" s="238"/>
      <c r="J5" s="238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9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193667</v>
      </c>
      <c r="K16" s="97">
        <f>Лист2!K19+Лист3!K30+Лист4!K28+Лист5!K28+Лист6!K28</f>
        <v>3928998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68207.570000000007</v>
      </c>
      <c r="O16" s="107">
        <f>Лист2!O19+Лист3!O30+Лист4!O28+Лист5!O28+Лист6!O28</f>
        <v>11682.900000000001</v>
      </c>
      <c r="P16" s="107">
        <f>M16+N16-O16</f>
        <v>64292.85</v>
      </c>
      <c r="Q16" s="107">
        <f>K16+P16</f>
        <v>3993290.85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193667</v>
      </c>
      <c r="K19" s="103">
        <f t="shared" si="0"/>
        <v>3928998</v>
      </c>
      <c r="L19" s="103">
        <f t="shared" si="0"/>
        <v>0</v>
      </c>
      <c r="M19" s="103">
        <f t="shared" si="0"/>
        <v>7768.18</v>
      </c>
      <c r="N19" s="103">
        <f t="shared" si="0"/>
        <v>68207.570000000007</v>
      </c>
      <c r="O19" s="103">
        <f t="shared" si="0"/>
        <v>11682.900000000001</v>
      </c>
      <c r="P19" s="103">
        <f t="shared" si="0"/>
        <v>64292.85</v>
      </c>
      <c r="Q19" s="103">
        <f t="shared" si="0"/>
        <v>3993290.85</v>
      </c>
    </row>
    <row r="20" spans="1:17" ht="20.25">
      <c r="A20" s="239" t="s">
        <v>21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9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4122665</v>
      </c>
      <c r="I29" s="57">
        <f>I19+I25</f>
        <v>0</v>
      </c>
      <c r="J29" s="56">
        <f>J19+J25</f>
        <v>193667</v>
      </c>
      <c r="K29" s="56">
        <f>K19+K25</f>
        <v>3928998</v>
      </c>
      <c r="L29" s="58"/>
      <c r="M29" s="56">
        <f>M19+M25</f>
        <v>7768.18</v>
      </c>
      <c r="N29" s="56">
        <f>N19+N25</f>
        <v>68207.570000000007</v>
      </c>
      <c r="O29" s="56">
        <f>O19+O25</f>
        <v>11682.900000000001</v>
      </c>
      <c r="P29" s="56">
        <f>P19+P25</f>
        <v>64292.85</v>
      </c>
      <c r="Q29" s="56">
        <f>Q19+Q25</f>
        <v>3993290.85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2016-05-20T10:42:38Z</cp:lastPrinted>
  <dcterms:created xsi:type="dcterms:W3CDTF">2006-06-05T06:40:26Z</dcterms:created>
  <dcterms:modified xsi:type="dcterms:W3CDTF">2016-06-02T08:55:08Z</dcterms:modified>
</cp:coreProperties>
</file>