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activeTab="8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8" r:id="rId7"/>
    <sheet name="Лист8" sheetId="9" r:id="rId8"/>
    <sheet name="Лист9" sheetId="7" r:id="rId9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Лист6!$A$1:$Q$45</definedName>
  </definedNames>
  <calcPr calcId="125725"/>
</workbook>
</file>

<file path=xl/calcChain.xml><?xml version="1.0" encoding="utf-8"?>
<calcChain xmlns="http://schemas.openxmlformats.org/spreadsheetml/2006/main">
  <c r="J20" i="3"/>
  <c r="P37" i="1"/>
  <c r="Q37" s="1"/>
  <c r="N36"/>
  <c r="N35"/>
  <c r="N34"/>
  <c r="N33"/>
  <c r="N32"/>
  <c r="N31"/>
  <c r="N29"/>
  <c r="N28"/>
  <c r="N27"/>
  <c r="N47"/>
  <c r="N46"/>
  <c r="N45"/>
  <c r="O47"/>
  <c r="O46"/>
  <c r="O45"/>
  <c r="O35"/>
  <c r="O34"/>
  <c r="O33"/>
  <c r="O32"/>
  <c r="O31"/>
  <c r="O29"/>
  <c r="O28"/>
  <c r="O27"/>
  <c r="K38"/>
  <c r="I38"/>
  <c r="K37"/>
  <c r="N38" l="1"/>
  <c r="O38"/>
  <c r="E38"/>
  <c r="N20" i="6" l="1"/>
  <c r="P20"/>
  <c r="P17"/>
  <c r="P18"/>
  <c r="N16"/>
  <c r="N15"/>
  <c r="P16" i="5"/>
  <c r="N15"/>
  <c r="N15" i="4"/>
  <c r="N17" i="3"/>
  <c r="N16"/>
  <c r="N19" i="2"/>
  <c r="N18"/>
  <c r="N17"/>
  <c r="O16" i="6"/>
  <c r="O15"/>
  <c r="O15" i="4"/>
  <c r="Q16" i="5"/>
  <c r="O17" i="3" l="1"/>
  <c r="O16"/>
  <c r="O19" i="2" l="1"/>
  <c r="O18"/>
  <c r="O17"/>
  <c r="K21"/>
  <c r="J21"/>
  <c r="J16" i="6"/>
  <c r="J15"/>
  <c r="J15" i="4"/>
  <c r="J17" i="3"/>
  <c r="J16"/>
  <c r="J18" i="2"/>
  <c r="J17"/>
  <c r="I20" i="3"/>
  <c r="M16" i="7"/>
  <c r="P28" i="9"/>
  <c r="Q24"/>
  <c r="P24"/>
  <c r="O24"/>
  <c r="N24"/>
  <c r="M24"/>
  <c r="K24"/>
  <c r="J24"/>
  <c r="I24"/>
  <c r="H24"/>
  <c r="E24"/>
  <c r="P18"/>
  <c r="O18"/>
  <c r="O28" s="1"/>
  <c r="N18"/>
  <c r="N28" s="1"/>
  <c r="M18"/>
  <c r="M28" s="1"/>
  <c r="L18"/>
  <c r="J18"/>
  <c r="J28" s="1"/>
  <c r="I18"/>
  <c r="I28" s="1"/>
  <c r="H18"/>
  <c r="H28" s="1"/>
  <c r="E18"/>
  <c r="K17"/>
  <c r="K16"/>
  <c r="Q16" s="1"/>
  <c r="Q18" s="1"/>
  <c r="Q28" s="1"/>
  <c r="H18" i="8"/>
  <c r="I18"/>
  <c r="J18"/>
  <c r="K18"/>
  <c r="L18"/>
  <c r="M18"/>
  <c r="N18"/>
  <c r="O18"/>
  <c r="O28" s="1"/>
  <c r="P18"/>
  <c r="E18"/>
  <c r="M28"/>
  <c r="Q24"/>
  <c r="P24"/>
  <c r="O24"/>
  <c r="N24"/>
  <c r="M24"/>
  <c r="K24"/>
  <c r="J24"/>
  <c r="I24"/>
  <c r="H24"/>
  <c r="E24"/>
  <c r="H28"/>
  <c r="K17"/>
  <c r="K16"/>
  <c r="Q16" s="1"/>
  <c r="Q18" s="1"/>
  <c r="I20" i="6"/>
  <c r="E20"/>
  <c r="Q17"/>
  <c r="K18"/>
  <c r="Q18" s="1"/>
  <c r="K17"/>
  <c r="K16" i="5"/>
  <c r="K16" i="4"/>
  <c r="Q16" s="1"/>
  <c r="O20" i="3"/>
  <c r="N20"/>
  <c r="H20"/>
  <c r="K18"/>
  <c r="K20" s="1"/>
  <c r="Q18" l="1"/>
  <c r="K18" i="9"/>
  <c r="K28" s="1"/>
  <c r="I28" i="8"/>
  <c r="N28"/>
  <c r="Q28"/>
  <c r="K28"/>
  <c r="P28"/>
  <c r="J28"/>
  <c r="O21" i="2"/>
  <c r="P20"/>
  <c r="Q20" s="1"/>
  <c r="N21"/>
  <c r="M21"/>
  <c r="K20"/>
  <c r="I21"/>
  <c r="E21"/>
  <c r="P36" i="1" l="1"/>
  <c r="Q36" s="1"/>
  <c r="K36"/>
  <c r="P19" i="2"/>
  <c r="O15" i="5" l="1"/>
  <c r="P47" i="1"/>
  <c r="P35"/>
  <c r="Q35" s="1"/>
  <c r="K35"/>
  <c r="Q19" i="2"/>
  <c r="K19"/>
  <c r="N48" i="1" l="1"/>
  <c r="O48" l="1"/>
  <c r="O26"/>
  <c r="N26"/>
  <c r="O16" i="2"/>
  <c r="N16"/>
  <c r="Q47" i="1"/>
  <c r="K48"/>
  <c r="J48"/>
  <c r="K47"/>
  <c r="I48"/>
  <c r="E48" l="1"/>
  <c r="O44"/>
  <c r="N44"/>
  <c r="J27"/>
  <c r="J26"/>
  <c r="J44"/>
  <c r="P34" l="1"/>
  <c r="Q34" s="1"/>
  <c r="K34"/>
  <c r="J33" l="1"/>
  <c r="O30" l="1"/>
  <c r="L20" i="3" l="1"/>
  <c r="M20"/>
  <c r="H21" i="2" l="1"/>
  <c r="P17" i="3"/>
  <c r="M30" l="1"/>
  <c r="M38" i="1"/>
  <c r="H48"/>
  <c r="P31" l="1"/>
  <c r="P32"/>
  <c r="P33"/>
  <c r="K18" i="2" l="1"/>
  <c r="K17" i="3"/>
  <c r="E20"/>
  <c r="P18" i="2"/>
  <c r="Q17" i="3" l="1"/>
  <c r="Q18" i="2"/>
  <c r="H38" i="1" l="1"/>
  <c r="K33"/>
  <c r="Q33" s="1"/>
  <c r="K32"/>
  <c r="Q32" s="1"/>
  <c r="K31" l="1"/>
  <c r="Q31" s="1"/>
  <c r="P46"/>
  <c r="K46"/>
  <c r="P29"/>
  <c r="P30"/>
  <c r="Q46" l="1"/>
  <c r="K29" l="1"/>
  <c r="Q29" s="1"/>
  <c r="K30"/>
  <c r="Q30" l="1"/>
  <c r="P45" l="1"/>
  <c r="K45"/>
  <c r="J38" l="1"/>
  <c r="Q45"/>
  <c r="Q48" s="1"/>
  <c r="P28"/>
  <c r="K28" l="1"/>
  <c r="Q28" l="1"/>
  <c r="L16" i="7" l="1"/>
  <c r="L19" s="1"/>
  <c r="Q25"/>
  <c r="P25"/>
  <c r="O25"/>
  <c r="N25"/>
  <c r="M25"/>
  <c r="K25"/>
  <c r="J25"/>
  <c r="I25"/>
  <c r="H25"/>
  <c r="E25"/>
  <c r="E19"/>
  <c r="K18"/>
  <c r="H20" i="6" l="1"/>
  <c r="J20"/>
  <c r="M20"/>
  <c r="O20"/>
  <c r="H18" i="4" l="1"/>
  <c r="I18"/>
  <c r="J18"/>
  <c r="M18"/>
  <c r="M28" s="1"/>
  <c r="N18"/>
  <c r="O18"/>
  <c r="E18"/>
  <c r="P44" i="1" l="1"/>
  <c r="P48" s="1"/>
  <c r="P27"/>
  <c r="P38" s="1"/>
  <c r="K27" l="1"/>
  <c r="Q27" l="1"/>
  <c r="K44"/>
  <c r="Q44" l="1"/>
  <c r="K16" i="6" l="1"/>
  <c r="P16" i="2" l="1"/>
  <c r="L16" l="1"/>
  <c r="L17"/>
  <c r="P16" i="3"/>
  <c r="P20" s="1"/>
  <c r="K15" i="6" l="1"/>
  <c r="K20" s="1"/>
  <c r="J18" i="5" l="1"/>
  <c r="L18"/>
  <c r="M18"/>
  <c r="M28" s="1"/>
  <c r="N18"/>
  <c r="O18"/>
  <c r="E18"/>
  <c r="K17" i="2"/>
  <c r="M52" i="1"/>
  <c r="P16" i="6" l="1"/>
  <c r="P15" i="5"/>
  <c r="P18" s="1"/>
  <c r="K15"/>
  <c r="P15" i="4"/>
  <c r="P18" s="1"/>
  <c r="K15"/>
  <c r="K18" s="1"/>
  <c r="K16" i="3"/>
  <c r="P17" i="2"/>
  <c r="P21" s="1"/>
  <c r="Q16" i="6" l="1"/>
  <c r="Q15" i="5"/>
  <c r="Q18" s="1"/>
  <c r="Q15" i="4"/>
  <c r="Q18" s="1"/>
  <c r="Q16" i="3"/>
  <c r="Q20" s="1"/>
  <c r="P26" i="1"/>
  <c r="K26"/>
  <c r="Q38" l="1"/>
  <c r="Q26"/>
  <c r="P25" l="1"/>
  <c r="P15" i="6"/>
  <c r="Q15" l="1"/>
  <c r="Q20" s="1"/>
  <c r="K25" i="1"/>
  <c r="Q25" s="1"/>
  <c r="P24" l="1"/>
  <c r="I52"/>
  <c r="K24"/>
  <c r="O31" i="2"/>
  <c r="K19" i="6"/>
  <c r="E26"/>
  <c r="H26"/>
  <c r="I26"/>
  <c r="J26"/>
  <c r="K26"/>
  <c r="M26"/>
  <c r="M30" s="1"/>
  <c r="M19" i="7" s="1"/>
  <c r="M29" s="1"/>
  <c r="N26" i="6"/>
  <c r="O26"/>
  <c r="P26"/>
  <c r="Q26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I16" i="7" s="1"/>
  <c r="J26" i="3"/>
  <c r="J30" s="1"/>
  <c r="K26"/>
  <c r="M26"/>
  <c r="N26"/>
  <c r="O26"/>
  <c r="P26"/>
  <c r="Q26"/>
  <c r="K16" i="2"/>
  <c r="Q17"/>
  <c r="Q21" s="1"/>
  <c r="E27"/>
  <c r="H27"/>
  <c r="H31" s="1"/>
  <c r="I27"/>
  <c r="I31" s="1"/>
  <c r="J27"/>
  <c r="J31" s="1"/>
  <c r="K27"/>
  <c r="M27"/>
  <c r="N27"/>
  <c r="O27"/>
  <c r="P27"/>
  <c r="Q27"/>
  <c r="K16" i="1"/>
  <c r="P16"/>
  <c r="K19"/>
  <c r="P19"/>
  <c r="K20"/>
  <c r="P20"/>
  <c r="K23"/>
  <c r="K41"/>
  <c r="P41"/>
  <c r="N28" i="5"/>
  <c r="N28" i="4"/>
  <c r="N31" i="2"/>
  <c r="O28" i="5"/>
  <c r="H16" i="7" l="1"/>
  <c r="H19" s="1"/>
  <c r="H29" s="1"/>
  <c r="K52" i="1"/>
  <c r="I30" i="6"/>
  <c r="J28" i="4"/>
  <c r="O28"/>
  <c r="P28" s="1"/>
  <c r="O30" i="6"/>
  <c r="P30"/>
  <c r="H28" i="4"/>
  <c r="I28"/>
  <c r="K28"/>
  <c r="N30" i="6"/>
  <c r="K30"/>
  <c r="I28" i="5"/>
  <c r="I19" i="7" s="1"/>
  <c r="I29" s="1"/>
  <c r="N30" i="3"/>
  <c r="O30"/>
  <c r="K31" i="2"/>
  <c r="Q16"/>
  <c r="Q19" i="1"/>
  <c r="H52"/>
  <c r="Q20"/>
  <c r="Q16"/>
  <c r="Q41"/>
  <c r="K28" i="5"/>
  <c r="H30" i="6"/>
  <c r="J30"/>
  <c r="J16" i="7" s="1"/>
  <c r="P31" i="2"/>
  <c r="Q24" i="1"/>
  <c r="P28" i="5"/>
  <c r="J28"/>
  <c r="P23" i="1"/>
  <c r="O52"/>
  <c r="J52"/>
  <c r="P30" i="3"/>
  <c r="Q30"/>
  <c r="K16" i="7" l="1"/>
  <c r="K19" s="1"/>
  <c r="K29" s="1"/>
  <c r="N16"/>
  <c r="N19" s="1"/>
  <c r="N29" s="1"/>
  <c r="Q23" i="1"/>
  <c r="J19" i="7"/>
  <c r="J29" s="1"/>
  <c r="O16"/>
  <c r="O19" s="1"/>
  <c r="O29" s="1"/>
  <c r="Q28" i="4"/>
  <c r="Q31" i="2"/>
  <c r="Q30" i="6"/>
  <c r="Q28" i="5"/>
  <c r="N52" i="1"/>
  <c r="P16" i="7" l="1"/>
  <c r="P19" s="1"/>
  <c r="P29" s="1"/>
  <c r="P52" i="1"/>
  <c r="Q52"/>
  <c r="Q16" i="7" l="1"/>
  <c r="Q19" s="1"/>
  <c r="Q29" s="1"/>
</calcChain>
</file>

<file path=xl/sharedStrings.xml><?xml version="1.0" encoding="utf-8"?>
<sst xmlns="http://schemas.openxmlformats.org/spreadsheetml/2006/main" count="428" uniqueCount="108">
  <si>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</si>
  <si>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</si>
  <si>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</si>
  <si>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</si>
  <si>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</si>
  <si>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</si>
  <si>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</si>
  <si>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</si>
  <si>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</si>
  <si>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</si>
  <si>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</si>
  <si>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</si>
  <si>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</si>
  <si>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</si>
  <si>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</si>
  <si>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</si>
  <si>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</si>
  <si>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</si>
  <si>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</si>
  <si>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</si>
  <si>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</si>
  <si>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</si>
  <si>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</si>
  <si>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</si>
  <si>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</si>
  <si>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</si>
  <si>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</si>
  <si>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</si>
  <si>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</si>
  <si>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</si>
  <si>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</si>
  <si>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</si>
  <si>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</si>
  <si>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</si>
  <si>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</si>
  <si>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</si>
  <si>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</si>
  <si>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</si>
  <si>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</si>
  <si>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</si>
  <si>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</si>
  <si>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</si>
  <si>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</si>
  <si>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</si>
  <si>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</si>
  <si>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</si>
  <si>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</si>
  <si>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</si>
  <si>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</si>
  <si>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</si>
  <si>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</si>
  <si>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</si>
  <si>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</si>
  <si>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</si>
  <si>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</si>
  <si>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</si>
  <si>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</si>
  <si>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</si>
  <si>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</si>
  <si>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</si>
  <si>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</si>
  <si>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</si>
  <si>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 6-АПМР от 25.12.2013</t>
  </si>
  <si>
    <t>Договор №4-АПМР от 25.12.2013</t>
  </si>
  <si>
    <t>Договор № 8-АПМР от 25.12.2013</t>
  </si>
  <si>
    <t>Договор №2-АПМР от 19.04.2013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</si>
  <si>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</si>
  <si>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</si>
  <si>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</si>
  <si>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</si>
  <si>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</si>
  <si>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</si>
  <si>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</si>
  <si>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</si>
  <si>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</si>
  <si>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</si>
  <si>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</si>
  <si>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</si>
  <si>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</si>
  <si>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</si>
  <si>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</si>
  <si>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</si>
  <si>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</si>
  <si>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</si>
  <si>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Договор  N13-4/15 от  17.12.2015</t>
  </si>
  <si>
    <t>Договор №5-АПМР от 26.12.2013</t>
  </si>
  <si>
    <t>ПАО "Совкомбанк"</t>
  </si>
  <si>
    <t>Муниципальный контракт  N 0106300008416000007-0226286-01 от 02.07.2016.</t>
  </si>
  <si>
    <t>Договор  N13-1/14 от  25.12.2014</t>
  </si>
  <si>
    <t>Договор  N13-1/16 от  27.05.2016</t>
  </si>
  <si>
    <t>Договор  N13-2/16 от  03.08.2016</t>
  </si>
  <si>
    <t>по состоянию на 01  октября 2016 года</t>
  </si>
  <si>
    <t>Договор  N13-3/16 от  20.09.2016</t>
  </si>
  <si>
    <t>Договор №1 от 17.08.2016</t>
  </si>
  <si>
    <t>Договор №2 от 02.10.2016</t>
  </si>
  <si>
    <t>по состоянию на 01  ноября   2016 года</t>
  </si>
  <si>
    <t>по состоянию на 01  ноября  2016 года</t>
  </si>
  <si>
    <t>Договор № 8 от 02.10.2016</t>
  </si>
  <si>
    <t>Договор №7 от 02.10.2016</t>
  </si>
  <si>
    <t>по состоянию на 01  ноября 2016 года</t>
  </si>
  <si>
    <t>Договор № 6 от 02.10.2016</t>
  </si>
  <si>
    <t>Договор №5 от 02.10.2016</t>
  </si>
  <si>
    <t>Договор №9 от 2510.2016</t>
  </si>
  <si>
    <t>Муниципальная долговая книга Кубовского поселения</t>
  </si>
  <si>
    <t>Договор № 3 от 02.10.2016</t>
  </si>
  <si>
    <t>Муниципальная долговая книга Куганаволокского поселения</t>
  </si>
  <si>
    <t>Договор № 4 от 02.10.2016</t>
  </si>
  <si>
    <t>Договор  N13-4/16 от  30.09.2016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</si>
</sst>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2" fillId="0" borderId="3" xfId="0" applyFont="1" applyBorder="1" applyAlignment="1">
      <alignment horizontal="justify"/>
    </xf>
    <xf numFmtId="2" fontId="3" fillId="0" borderId="5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2" fillId="0" borderId="6" xfId="0" applyFont="1" applyBorder="1"/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view="pageBreakPreview" topLeftCell="D33" zoomScaleNormal="75" workbookViewId="0">
      <selection activeCell="D5" sqref="D5"/>
    </sheetView>
  </sheetViews>
  <sheetFormatPr defaultRowHeight="12.75"/>
  <cols>
    <col min="1" max="1" width="3.7109375" style="1" customWidth="1"/>
    <col min="2" max="2" width="15.7109375" style="11" customWidth="1"/>
    <col min="3" max="3" width="21.7109375" style="5" customWidth="1"/>
    <col min="4" max="4" width="14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3.5703125" style="1" customWidth="1"/>
    <col min="9" max="9" width="13.140625" style="1" customWidth="1"/>
    <col min="10" max="10" width="14.42578125" style="1" customWidth="1"/>
    <col min="11" max="11" width="18.42578125" style="1" customWidth="1"/>
    <col min="12" max="12" width="8" style="1" customWidth="1"/>
    <col min="13" max="13" width="11.2851562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21" t="s">
        <v>23</v>
      </c>
      <c r="M1" s="219"/>
      <c r="N1" s="219"/>
      <c r="O1" s="219"/>
      <c r="P1" s="219"/>
      <c r="Q1" s="219"/>
    </row>
    <row r="2" spans="1:17" ht="26.25" hidden="1" customHeight="1">
      <c r="L2" s="219"/>
      <c r="M2" s="219"/>
      <c r="N2" s="219"/>
      <c r="O2" s="219"/>
      <c r="P2" s="219"/>
      <c r="Q2" s="219"/>
    </row>
    <row r="3" spans="1:17" ht="21" customHeight="1">
      <c r="A3" s="236" t="s">
        <v>25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  <c r="P3" s="238"/>
      <c r="Q3" s="238"/>
    </row>
    <row r="4" spans="1:17" ht="16.5" customHeight="1">
      <c r="B4" s="2"/>
      <c r="C4" s="2"/>
      <c r="D4" s="230" t="s">
        <v>99</v>
      </c>
      <c r="E4" s="231"/>
      <c r="F4" s="231"/>
      <c r="G4" s="231"/>
      <c r="H4" s="231"/>
      <c r="I4" s="231"/>
      <c r="J4" s="231"/>
      <c r="K4" s="231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8" t="s">
        <v>22</v>
      </c>
      <c r="O5" s="228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32"/>
      <c r="G7" s="232"/>
      <c r="H7" s="232"/>
      <c r="I7" s="232"/>
      <c r="J7" s="232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22" t="s">
        <v>19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33" t="s">
        <v>20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37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37" si="1">H20+I20-J20</f>
        <v>0</v>
      </c>
      <c r="L20" s="52"/>
      <c r="M20" s="50"/>
      <c r="N20" s="50"/>
      <c r="O20" s="50"/>
      <c r="P20" s="50">
        <f t="shared" ref="P20:P37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33" customHeight="1">
      <c r="A23" s="61"/>
      <c r="B23" s="62" t="s">
        <v>24</v>
      </c>
      <c r="C23" s="30" t="s">
        <v>42</v>
      </c>
      <c r="D23" s="31" t="s">
        <v>26</v>
      </c>
      <c r="E23" s="47">
        <v>3000000</v>
      </c>
      <c r="F23" s="48">
        <v>42333</v>
      </c>
      <c r="G23" s="51"/>
      <c r="H23" s="36">
        <v>0</v>
      </c>
      <c r="I23" s="36"/>
      <c r="J23" s="50">
        <v>0</v>
      </c>
      <c r="K23" s="36">
        <f t="shared" si="1"/>
        <v>0</v>
      </c>
      <c r="L23" s="183">
        <v>2.75</v>
      </c>
      <c r="M23" s="50">
        <v>-339.04</v>
      </c>
      <c r="N23" s="50"/>
      <c r="O23" s="50">
        <v>-339.04</v>
      </c>
      <c r="P23" s="50">
        <f t="shared" si="2"/>
        <v>0</v>
      </c>
      <c r="Q23" s="50">
        <f t="shared" si="0"/>
        <v>0</v>
      </c>
    </row>
    <row r="24" spans="1:17" s="3" customFormat="1" ht="26.25" hidden="1" customHeight="1">
      <c r="A24" s="61"/>
      <c r="B24" s="62" t="s">
        <v>24</v>
      </c>
      <c r="C24" s="30" t="s">
        <v>45</v>
      </c>
      <c r="D24" s="31" t="s">
        <v>26</v>
      </c>
      <c r="E24" s="47">
        <v>2000000</v>
      </c>
      <c r="F24" s="48">
        <v>42333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hidden="1" customHeight="1">
      <c r="A25" s="61"/>
      <c r="B25" s="62" t="s">
        <v>24</v>
      </c>
      <c r="C25" s="30" t="s">
        <v>46</v>
      </c>
      <c r="D25" s="31" t="s">
        <v>26</v>
      </c>
      <c r="E25" s="47">
        <v>780000</v>
      </c>
      <c r="F25" s="48">
        <v>42210</v>
      </c>
      <c r="G25" s="51"/>
      <c r="H25" s="36">
        <v>0</v>
      </c>
      <c r="I25" s="36"/>
      <c r="J25" s="36">
        <v>0</v>
      </c>
      <c r="K25" s="36">
        <f t="shared" si="1"/>
        <v>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0</v>
      </c>
    </row>
    <row r="26" spans="1:17" s="3" customFormat="1" ht="30.75" customHeight="1">
      <c r="A26" s="61"/>
      <c r="B26" s="62" t="s">
        <v>24</v>
      </c>
      <c r="C26" s="30" t="s">
        <v>49</v>
      </c>
      <c r="D26" s="31" t="s">
        <v>26</v>
      </c>
      <c r="E26" s="47">
        <v>5000000</v>
      </c>
      <c r="F26" s="48">
        <v>42699</v>
      </c>
      <c r="G26" s="51"/>
      <c r="H26" s="36">
        <v>3500000</v>
      </c>
      <c r="I26" s="36"/>
      <c r="J26" s="36">
        <f>350000+350000+350000+350000</f>
        <v>1400000</v>
      </c>
      <c r="K26" s="36">
        <f t="shared" si="1"/>
        <v>2100000</v>
      </c>
      <c r="L26" s="183">
        <v>2.75</v>
      </c>
      <c r="M26" s="50">
        <v>7247.94</v>
      </c>
      <c r="N26" s="50">
        <f>17430.31+3187.36+77.83+9221.85+7819.28+6907.62+4448.66</f>
        <v>49092.91</v>
      </c>
      <c r="O26" s="50">
        <f>687.49+17430.31+6473.79+86.66+3265.19+9221.85+7819.28+6907.62+4448.66</f>
        <v>56340.850000000006</v>
      </c>
      <c r="P26" s="50">
        <f t="shared" si="2"/>
        <v>0</v>
      </c>
      <c r="Q26" s="50">
        <f t="shared" si="0"/>
        <v>2100000</v>
      </c>
    </row>
    <row r="27" spans="1:17" s="3" customFormat="1" ht="30.75" customHeight="1">
      <c r="A27" s="61"/>
      <c r="B27" s="62" t="s">
        <v>24</v>
      </c>
      <c r="C27" s="30" t="s">
        <v>88</v>
      </c>
      <c r="D27" s="31" t="s">
        <v>26</v>
      </c>
      <c r="E27" s="47">
        <v>3000000</v>
      </c>
      <c r="F27" s="48">
        <v>43064</v>
      </c>
      <c r="G27" s="51"/>
      <c r="H27" s="36">
        <v>2950000</v>
      </c>
      <c r="I27" s="36"/>
      <c r="J27" s="36">
        <f>50000+50000+50000+50000+50000</f>
        <v>250000</v>
      </c>
      <c r="K27" s="36">
        <f t="shared" si="1"/>
        <v>2700000</v>
      </c>
      <c r="L27" s="183">
        <v>2.75</v>
      </c>
      <c r="M27" s="50">
        <v>6690.41</v>
      </c>
      <c r="N27" s="50">
        <f>9322.65+8097.88+15.41+26.35+8771.03+8330.22+8440.43+7623.67+6966.53+6966.53+6613.13+6634.13</f>
        <v>77807.960000000006</v>
      </c>
      <c r="O27" s="50">
        <f>6464.38+9322.65+252.38+8113.29+8771.03+8330.22+8440.43+7623.67+6966.53+6966.53+6613.13</f>
        <v>77864.240000000005</v>
      </c>
      <c r="P27" s="50">
        <f t="shared" si="2"/>
        <v>6634.130000000001</v>
      </c>
      <c r="Q27" s="50">
        <f t="shared" si="0"/>
        <v>2706634.13</v>
      </c>
    </row>
    <row r="28" spans="1:17" s="3" customFormat="1" ht="30.75" customHeight="1">
      <c r="A28" s="61"/>
      <c r="B28" s="62" t="s">
        <v>24</v>
      </c>
      <c r="C28" s="30" t="s">
        <v>70</v>
      </c>
      <c r="D28" s="31" t="s">
        <v>26</v>
      </c>
      <c r="E28" s="47">
        <v>10000000</v>
      </c>
      <c r="F28" s="48">
        <v>43271</v>
      </c>
      <c r="G28" s="51"/>
      <c r="H28" s="36">
        <v>10000000</v>
      </c>
      <c r="I28" s="36"/>
      <c r="J28" s="36"/>
      <c r="K28" s="36">
        <f t="shared" si="1"/>
        <v>10000000</v>
      </c>
      <c r="L28" s="183">
        <v>2.75</v>
      </c>
      <c r="M28" s="50">
        <v>22602.74</v>
      </c>
      <c r="N28" s="50">
        <f>31056.75+29053.09+31056.75+30054.92+31056.75+29280.63+29644.81+29644.81+28140.98+28230.33</f>
        <v>297219.82</v>
      </c>
      <c r="O28" s="50">
        <f>21849.32+31056.75+753.42+29053.09+31056.75+30054.92+31056.75+29280.63+29644.81+29644.81+28140.98</f>
        <v>291592.23</v>
      </c>
      <c r="P28" s="50">
        <f t="shared" si="2"/>
        <v>28230.330000000027</v>
      </c>
      <c r="Q28" s="50">
        <f t="shared" si="0"/>
        <v>10028230.33</v>
      </c>
    </row>
    <row r="29" spans="1:17" s="3" customFormat="1" ht="28.5" customHeight="1">
      <c r="A29" s="61"/>
      <c r="B29" s="62" t="s">
        <v>24</v>
      </c>
      <c r="C29" s="30" t="s">
        <v>77</v>
      </c>
      <c r="D29" s="31" t="s">
        <v>26</v>
      </c>
      <c r="E29" s="47">
        <v>7000000</v>
      </c>
      <c r="F29" s="48">
        <v>43393</v>
      </c>
      <c r="G29" s="51"/>
      <c r="H29" s="36">
        <v>7000000</v>
      </c>
      <c r="I29" s="36"/>
      <c r="J29" s="36"/>
      <c r="K29" s="36">
        <f t="shared" si="1"/>
        <v>7000000</v>
      </c>
      <c r="L29" s="183">
        <v>2.75</v>
      </c>
      <c r="M29" s="50">
        <v>16360.49</v>
      </c>
      <c r="N29" s="50">
        <f>21739.72+20337.16+21739.72+21038.44+21739.72+19456.2+16144.56+16144.56+15325.58+15374.24</f>
        <v>189039.9</v>
      </c>
      <c r="O29" s="50">
        <f>16349.32+11.17+21739.72+20337.16+21739.72+21038.44+21739.72+19456.2+16144.56+16144.56+15325.58</f>
        <v>190026.15</v>
      </c>
      <c r="P29" s="50">
        <f t="shared" si="2"/>
        <v>15374.24</v>
      </c>
      <c r="Q29" s="50">
        <f t="shared" si="0"/>
        <v>7015374.2400000002</v>
      </c>
    </row>
    <row r="30" spans="1:17" s="3" customFormat="1" ht="33" customHeight="1">
      <c r="A30" s="61"/>
      <c r="B30" s="62" t="s">
        <v>24</v>
      </c>
      <c r="C30" s="30" t="s">
        <v>78</v>
      </c>
      <c r="D30" s="31" t="s">
        <v>26</v>
      </c>
      <c r="E30" s="47">
        <v>15000000</v>
      </c>
      <c r="F30" s="48">
        <v>42367</v>
      </c>
      <c r="G30" s="51"/>
      <c r="H30" s="36"/>
      <c r="I30" s="36">
        <v>0</v>
      </c>
      <c r="J30" s="36">
        <v>0</v>
      </c>
      <c r="K30" s="36">
        <f t="shared" si="1"/>
        <v>0</v>
      </c>
      <c r="L30" s="183">
        <v>2.75</v>
      </c>
      <c r="M30" s="50">
        <v>19076.88</v>
      </c>
      <c r="N30" s="50"/>
      <c r="O30" s="50">
        <f>19061.65+15.23</f>
        <v>19076.88</v>
      </c>
      <c r="P30" s="50">
        <f t="shared" si="2"/>
        <v>0</v>
      </c>
      <c r="Q30" s="50">
        <f t="shared" si="0"/>
        <v>0</v>
      </c>
    </row>
    <row r="31" spans="1:17" s="3" customFormat="1" ht="30.75" customHeight="1">
      <c r="A31" s="61"/>
      <c r="B31" s="62" t="s">
        <v>24</v>
      </c>
      <c r="C31" s="30" t="s">
        <v>84</v>
      </c>
      <c r="D31" s="31" t="s">
        <v>26</v>
      </c>
      <c r="E31" s="47">
        <v>3000000</v>
      </c>
      <c r="F31" s="48">
        <v>43449</v>
      </c>
      <c r="G31" s="51"/>
      <c r="H31" s="36">
        <v>3000000</v>
      </c>
      <c r="I31" s="36"/>
      <c r="J31" s="36"/>
      <c r="K31" s="36">
        <f t="shared" si="1"/>
        <v>3000000</v>
      </c>
      <c r="L31" s="183">
        <v>2.75</v>
      </c>
      <c r="M31" s="50">
        <v>3164.38</v>
      </c>
      <c r="N31" s="50">
        <f>9317.02+8715.93+9317.02+9016.48+9317.02+8784.19+8893.44+8893.44+8442.29+8469.1</f>
        <v>89165.930000000022</v>
      </c>
      <c r="O31" s="50">
        <f>3164.38+9317.02+8715.93+9317.02+9016.48+9317.02+8784.19+8893.44+8893.44+8442.29</f>
        <v>83861.210000000021</v>
      </c>
      <c r="P31" s="50">
        <f t="shared" si="2"/>
        <v>8469.1000000000022</v>
      </c>
      <c r="Q31" s="50">
        <f t="shared" si="0"/>
        <v>3008469.1</v>
      </c>
    </row>
    <row r="32" spans="1:17" s="3" customFormat="1" ht="30.75" customHeight="1">
      <c r="A32" s="61"/>
      <c r="B32" s="62" t="s">
        <v>24</v>
      </c>
      <c r="C32" s="30" t="s">
        <v>82</v>
      </c>
      <c r="D32" s="31" t="s">
        <v>26</v>
      </c>
      <c r="E32" s="47">
        <v>8900000</v>
      </c>
      <c r="F32" s="48">
        <v>43455</v>
      </c>
      <c r="G32" s="51"/>
      <c r="H32" s="36">
        <v>8900000</v>
      </c>
      <c r="I32" s="36"/>
      <c r="J32" s="36"/>
      <c r="K32" s="36">
        <f t="shared" si="1"/>
        <v>8900000</v>
      </c>
      <c r="L32" s="183">
        <v>2.75</v>
      </c>
      <c r="M32" s="50">
        <v>4693.84</v>
      </c>
      <c r="N32" s="50">
        <f>27640.51+25857.25+27640.51+26748.88+27640.51+26059.76+26383.88+26383.88+25045.47+25124.99</f>
        <v>264525.64</v>
      </c>
      <c r="O32" s="50">
        <f>4693.84+27640.51+25857.25+27640.51+26748.88+27640.51+26059.76+26383.88+26383.88+25045.47</f>
        <v>244094.49000000002</v>
      </c>
      <c r="P32" s="50">
        <f t="shared" si="2"/>
        <v>25124.989999999994</v>
      </c>
      <c r="Q32" s="50">
        <f t="shared" si="0"/>
        <v>8925124.9900000002</v>
      </c>
    </row>
    <row r="33" spans="1:17" s="3" customFormat="1" ht="30.75" customHeight="1">
      <c r="A33" s="61"/>
      <c r="B33" s="62" t="s">
        <v>24</v>
      </c>
      <c r="C33" s="30" t="s">
        <v>83</v>
      </c>
      <c r="D33" s="31" t="s">
        <v>26</v>
      </c>
      <c r="E33" s="47">
        <v>4000000</v>
      </c>
      <c r="F33" s="48">
        <v>42729</v>
      </c>
      <c r="G33" s="51"/>
      <c r="H33" s="36">
        <v>4000000</v>
      </c>
      <c r="I33" s="36"/>
      <c r="J33" s="36">
        <f>333000+333000+334000</f>
        <v>1000000</v>
      </c>
      <c r="K33" s="36">
        <f t="shared" si="1"/>
        <v>3000000</v>
      </c>
      <c r="L33" s="183">
        <v>2.75</v>
      </c>
      <c r="M33" s="50">
        <v>2109.59</v>
      </c>
      <c r="N33" s="50">
        <f>11989.01+10153.35+9818.94+9016.48+9317.02+8784.19+8893.44+8893.44+8442.29+8469.1</f>
        <v>93777.260000000009</v>
      </c>
      <c r="O33" s="50">
        <f>2109.59+11989.01+10153.35+9818.94+9016.48+9317.02+8784.19+8893.44+8893.44+8442.29</f>
        <v>87417.75</v>
      </c>
      <c r="P33" s="50">
        <f t="shared" si="2"/>
        <v>8469.1000000000095</v>
      </c>
      <c r="Q33" s="50">
        <f t="shared" si="0"/>
        <v>3008469.1</v>
      </c>
    </row>
    <row r="34" spans="1:17" s="3" customFormat="1" ht="30.75" customHeight="1">
      <c r="A34" s="61"/>
      <c r="B34" s="62" t="s">
        <v>24</v>
      </c>
      <c r="C34" s="30" t="s">
        <v>89</v>
      </c>
      <c r="D34" s="31" t="s">
        <v>26</v>
      </c>
      <c r="E34" s="47">
        <v>5000000</v>
      </c>
      <c r="F34" s="48">
        <v>43605</v>
      </c>
      <c r="G34" s="51"/>
      <c r="H34" s="36"/>
      <c r="I34" s="36">
        <v>5000000</v>
      </c>
      <c r="J34" s="36"/>
      <c r="K34" s="36">
        <f t="shared" si="1"/>
        <v>5000000</v>
      </c>
      <c r="L34" s="183">
        <v>2.75</v>
      </c>
      <c r="M34" s="50"/>
      <c r="N34" s="50">
        <f>1001.83+14640.32+14822.4+14822.4+14070.49+14115.16</f>
        <v>73472.599999999991</v>
      </c>
      <c r="O34" s="50">
        <f>1001.83+14640.32+14822.4+14822.4+14070.49</f>
        <v>59357.439999999995</v>
      </c>
      <c r="P34" s="50">
        <f t="shared" si="2"/>
        <v>14115.159999999996</v>
      </c>
      <c r="Q34" s="50">
        <f t="shared" si="0"/>
        <v>5014115.16</v>
      </c>
    </row>
    <row r="35" spans="1:17" s="3" customFormat="1" ht="30.75" customHeight="1">
      <c r="A35" s="61"/>
      <c r="B35" s="62" t="s">
        <v>24</v>
      </c>
      <c r="C35" s="30" t="s">
        <v>90</v>
      </c>
      <c r="D35" s="31" t="s">
        <v>26</v>
      </c>
      <c r="E35" s="47">
        <v>17160000</v>
      </c>
      <c r="F35" s="48">
        <v>43671</v>
      </c>
      <c r="G35" s="51"/>
      <c r="H35" s="36"/>
      <c r="I35" s="36">
        <v>17160000</v>
      </c>
      <c r="J35" s="36"/>
      <c r="K35" s="36">
        <f t="shared" si="1"/>
        <v>17160000</v>
      </c>
      <c r="L35" s="183">
        <v>2.75</v>
      </c>
      <c r="M35" s="50"/>
      <c r="N35" s="50">
        <f>37742.62+48289.92+48443.24</f>
        <v>134475.78</v>
      </c>
      <c r="O35" s="50">
        <f>37742.62+48289.92</f>
        <v>86032.540000000008</v>
      </c>
      <c r="P35" s="50">
        <f t="shared" si="2"/>
        <v>48443.239999999991</v>
      </c>
      <c r="Q35" s="50">
        <f t="shared" si="0"/>
        <v>17208443.239999998</v>
      </c>
    </row>
    <row r="36" spans="1:17" s="3" customFormat="1" ht="30.75" customHeight="1">
      <c r="A36" s="61"/>
      <c r="B36" s="62" t="s">
        <v>24</v>
      </c>
      <c r="C36" s="30" t="s">
        <v>92</v>
      </c>
      <c r="D36" s="31" t="s">
        <v>26</v>
      </c>
      <c r="E36" s="47">
        <v>8000000</v>
      </c>
      <c r="F36" s="48">
        <v>42724</v>
      </c>
      <c r="G36" s="51"/>
      <c r="H36" s="36"/>
      <c r="I36" s="36">
        <v>8000000</v>
      </c>
      <c r="J36" s="36"/>
      <c r="K36" s="36">
        <f t="shared" si="1"/>
        <v>8000000</v>
      </c>
      <c r="L36" s="183">
        <v>2.75</v>
      </c>
      <c r="M36" s="50"/>
      <c r="N36" s="50">
        <f>8013.77+22584.26</f>
        <v>30598.03</v>
      </c>
      <c r="O36" s="50">
        <v>8013.77</v>
      </c>
      <c r="P36" s="50">
        <f t="shared" si="2"/>
        <v>22584.26</v>
      </c>
      <c r="Q36" s="50">
        <f t="shared" si="0"/>
        <v>8022584.2599999998</v>
      </c>
    </row>
    <row r="37" spans="1:17" s="3" customFormat="1" ht="30.75" customHeight="1">
      <c r="A37" s="61"/>
      <c r="B37" s="62" t="s">
        <v>24</v>
      </c>
      <c r="C37" s="30" t="s">
        <v>107</v>
      </c>
      <c r="D37" s="31" t="s">
        <v>26</v>
      </c>
      <c r="E37" s="47">
        <v>3575000</v>
      </c>
      <c r="F37" s="48">
        <v>43733</v>
      </c>
      <c r="G37" s="51"/>
      <c r="H37" s="36"/>
      <c r="I37" s="36">
        <v>3575000</v>
      </c>
      <c r="J37" s="36"/>
      <c r="K37" s="36">
        <f t="shared" si="1"/>
        <v>3575000</v>
      </c>
      <c r="L37" s="183">
        <v>2.75</v>
      </c>
      <c r="M37" s="50"/>
      <c r="N37" s="50">
        <v>9115.66</v>
      </c>
      <c r="O37" s="50"/>
      <c r="P37" s="50">
        <f t="shared" si="2"/>
        <v>9115.66</v>
      </c>
      <c r="Q37" s="50">
        <f t="shared" si="0"/>
        <v>3584115.66</v>
      </c>
    </row>
    <row r="38" spans="1:17" s="3" customFormat="1" ht="18.75" customHeight="1">
      <c r="A38" s="44" t="s">
        <v>15</v>
      </c>
      <c r="B38" s="45"/>
      <c r="C38" s="30"/>
      <c r="D38" s="31"/>
      <c r="E38" s="47">
        <f>E21+E22+E23+E24+E25+E26+E29+E30+E31+E32+E33+E34+E35+E36+E37</f>
        <v>82415000</v>
      </c>
      <c r="F38" s="47"/>
      <c r="G38" s="47"/>
      <c r="H38" s="47">
        <f>H21+H22+H23+H24+H25+H26+H27+H28+H29+H30+H31+H32+H33</f>
        <v>39350000</v>
      </c>
      <c r="I38" s="47">
        <f>I34+I35+I36+I37</f>
        <v>33735000</v>
      </c>
      <c r="J38" s="47">
        <f>J21+J22+J23+J24+J25+J26+J27+J28+J29+J30+J31+J32+J33</f>
        <v>2650000</v>
      </c>
      <c r="K38" s="47">
        <f>K21+K22+K23+K24+K25+K26+K27+K28+K29+K30+K31+K32+K33+K34+K35+K36+K37</f>
        <v>70435000</v>
      </c>
      <c r="L38" s="47"/>
      <c r="M38" s="47">
        <f>M21+M22+M23+M24+M25+M26+M27+M28+M29+M30+M31+M32+M33</f>
        <v>81607.23</v>
      </c>
      <c r="N38" s="47">
        <f>N21+N22+N23+N24+N25+N26+N27+N28+N29+N30+N31+N32+N33+N34+N35+N36+N37</f>
        <v>1308291.49</v>
      </c>
      <c r="O38" s="47">
        <f>O24+O25+O26+O27+O28+O29+O30+O31+O32+O33+O23+O34+O35+O36+O37</f>
        <v>1203338.51</v>
      </c>
      <c r="P38" s="47">
        <f>P21+P22+P23+P24+P25+P26+P27+P28+P29+P30+P31+P32+P33+P34+P35+P36+P37</f>
        <v>186560.21000000002</v>
      </c>
      <c r="Q38" s="186">
        <f>K38+P38</f>
        <v>70621560.209999993</v>
      </c>
    </row>
    <row r="39" spans="1:17" s="3" customFormat="1" ht="20.25" customHeight="1">
      <c r="A39" s="222" t="s">
        <v>21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08"/>
      <c r="Q39" s="207"/>
    </row>
    <row r="40" spans="1:17" s="3" customFormat="1" ht="48.75" hidden="1" customHeight="1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Q40" s="40"/>
    </row>
    <row r="41" spans="1:17" s="3" customFormat="1" ht="0.75" hidden="1" customHeight="1">
      <c r="A41" s="67"/>
      <c r="B41" s="202" t="s">
        <v>34</v>
      </c>
      <c r="C41" s="203" t="s">
        <v>30</v>
      </c>
      <c r="D41" s="31" t="s">
        <v>31</v>
      </c>
      <c r="E41" s="32">
        <v>3200000</v>
      </c>
      <c r="F41" s="48">
        <v>40619</v>
      </c>
      <c r="G41" s="34"/>
      <c r="H41" s="35"/>
      <c r="I41" s="36"/>
      <c r="J41" s="69"/>
      <c r="K41" s="50">
        <f>H41-J41</f>
        <v>0</v>
      </c>
      <c r="L41" s="36">
        <v>16</v>
      </c>
      <c r="M41" s="36"/>
      <c r="N41" s="50"/>
      <c r="O41" s="50"/>
      <c r="P41" s="47">
        <f>N41-O41</f>
        <v>0</v>
      </c>
      <c r="Q41" s="50">
        <f>K41+P41</f>
        <v>0</v>
      </c>
    </row>
    <row r="42" spans="1:17" s="3" customFormat="1" ht="36.75" hidden="1" customHeight="1">
      <c r="A42" s="28"/>
      <c r="B42" s="204" t="s">
        <v>34</v>
      </c>
      <c r="C42" s="30" t="s">
        <v>68</v>
      </c>
      <c r="D42" s="31"/>
      <c r="E42" s="32"/>
      <c r="F42" s="48"/>
      <c r="G42" s="34"/>
      <c r="H42" s="35"/>
      <c r="I42" s="36"/>
      <c r="J42" s="69"/>
      <c r="K42" s="36"/>
      <c r="L42" s="36"/>
      <c r="M42" s="36"/>
      <c r="N42" s="50"/>
      <c r="O42" s="50"/>
      <c r="P42" s="47"/>
      <c r="Q42" s="50"/>
    </row>
    <row r="43" spans="1:17" s="3" customFormat="1" ht="41.25" hidden="1" customHeight="1">
      <c r="A43" s="28"/>
      <c r="B43" s="204" t="s">
        <v>37</v>
      </c>
      <c r="C43" s="30" t="s">
        <v>48</v>
      </c>
      <c r="D43" s="31"/>
      <c r="E43" s="32"/>
      <c r="F43" s="48"/>
      <c r="G43" s="34"/>
      <c r="H43" s="35"/>
      <c r="I43" s="36"/>
      <c r="J43" s="69"/>
      <c r="K43" s="50"/>
      <c r="L43" s="50"/>
      <c r="M43" s="36"/>
      <c r="N43" s="50"/>
      <c r="O43" s="50"/>
      <c r="P43" s="47"/>
      <c r="Q43" s="50"/>
    </row>
    <row r="44" spans="1:17" s="3" customFormat="1" ht="53.25" customHeight="1">
      <c r="A44" s="28"/>
      <c r="B44" s="204" t="s">
        <v>37</v>
      </c>
      <c r="C44" s="30" t="s">
        <v>66</v>
      </c>
      <c r="D44" s="31" t="s">
        <v>67</v>
      </c>
      <c r="E44" s="32">
        <v>8000000</v>
      </c>
      <c r="F44" s="48">
        <v>42524</v>
      </c>
      <c r="G44" s="34"/>
      <c r="H44" s="35">
        <v>3537000</v>
      </c>
      <c r="I44" s="36"/>
      <c r="J44" s="69">
        <f>708000+2829000</f>
        <v>3537000</v>
      </c>
      <c r="K44" s="50">
        <f>I44-J44+H44</f>
        <v>0</v>
      </c>
      <c r="L44" s="50">
        <v>13.3</v>
      </c>
      <c r="M44" s="36"/>
      <c r="N44" s="50">
        <f>38558.01+29812.71+31868.76+30840.74+31868.76+2056.05</f>
        <v>165005.03</v>
      </c>
      <c r="O44" s="50">
        <f>38558.01+29812.71+31868.76+30840.74+31868.76+2056.05</f>
        <v>165005.03</v>
      </c>
      <c r="P44" s="47">
        <f>N44-O44</f>
        <v>0</v>
      </c>
      <c r="Q44" s="50">
        <f>K44+P44</f>
        <v>0</v>
      </c>
    </row>
    <row r="45" spans="1:17" s="3" customFormat="1" ht="39.75" customHeight="1">
      <c r="A45" s="28"/>
      <c r="B45" s="204" t="s">
        <v>37</v>
      </c>
      <c r="C45" s="30" t="s">
        <v>71</v>
      </c>
      <c r="D45" s="31" t="s">
        <v>67</v>
      </c>
      <c r="E45" s="32">
        <v>11000000</v>
      </c>
      <c r="F45" s="48">
        <v>42944</v>
      </c>
      <c r="G45" s="34"/>
      <c r="H45" s="35">
        <v>11000000</v>
      </c>
      <c r="I45" s="36">
        <v>0</v>
      </c>
      <c r="J45" s="69">
        <v>1000000</v>
      </c>
      <c r="K45" s="50">
        <f>I45-J45+H45</f>
        <v>10000000</v>
      </c>
      <c r="L45" s="50">
        <v>15.8</v>
      </c>
      <c r="M45" s="36"/>
      <c r="N45" s="50">
        <f>147207.65+137710.38+147207.65+142459.01+147207.66+145912.57+142459.01+133825.14+129508.19+133825.14</f>
        <v>1407322.4000000004</v>
      </c>
      <c r="O45" s="50">
        <f>147207.65+137710.38+147207.65+142459.01+147207.66+145912.57+142459.01+133825.14+129508.19+133825.14</f>
        <v>1407322.4000000004</v>
      </c>
      <c r="P45" s="47">
        <f>N45-O45</f>
        <v>0</v>
      </c>
      <c r="Q45" s="50">
        <f>K45+P45</f>
        <v>10000000</v>
      </c>
    </row>
    <row r="46" spans="1:17" s="3" customFormat="1" ht="45" customHeight="1">
      <c r="A46" s="205"/>
      <c r="B46" s="204" t="s">
        <v>37</v>
      </c>
      <c r="C46" s="30" t="s">
        <v>79</v>
      </c>
      <c r="D46" s="31" t="s">
        <v>67</v>
      </c>
      <c r="E46" s="32">
        <v>8000000</v>
      </c>
      <c r="F46" s="48">
        <v>43075</v>
      </c>
      <c r="G46" s="34"/>
      <c r="H46" s="35">
        <v>8000000</v>
      </c>
      <c r="I46" s="36">
        <v>0</v>
      </c>
      <c r="J46" s="69"/>
      <c r="K46" s="50">
        <f>I46-J46+H46</f>
        <v>8000000</v>
      </c>
      <c r="L46" s="50">
        <v>13.47</v>
      </c>
      <c r="M46" s="36"/>
      <c r="N46" s="50">
        <f>91290.43+85400.72+91290.43+88345.57+91290.43+91290.43+88345.57+91290.42+88345.58+91290.42</f>
        <v>898180.00000000012</v>
      </c>
      <c r="O46" s="50">
        <f>176691.15+91290.43+88345.57+91290.43+91290.43+88345.57+91290.42+88345.58+91290.42</f>
        <v>898180.00000000012</v>
      </c>
      <c r="P46" s="47">
        <f>N46-O46</f>
        <v>0</v>
      </c>
      <c r="Q46" s="50">
        <f>K46+P46</f>
        <v>8000000</v>
      </c>
    </row>
    <row r="47" spans="1:17" s="3" customFormat="1" ht="45" customHeight="1">
      <c r="A47" s="205"/>
      <c r="B47" s="206"/>
      <c r="C47" s="30" t="s">
        <v>87</v>
      </c>
      <c r="D47" s="31" t="s">
        <v>86</v>
      </c>
      <c r="E47" s="32">
        <v>10000000</v>
      </c>
      <c r="F47" s="48">
        <v>43283</v>
      </c>
      <c r="G47" s="34"/>
      <c r="H47" s="35"/>
      <c r="I47" s="36">
        <v>10000000</v>
      </c>
      <c r="J47" s="69"/>
      <c r="K47" s="50">
        <f>I47-J47+H47</f>
        <v>10000000</v>
      </c>
      <c r="L47" s="50">
        <v>16.03</v>
      </c>
      <c r="M47" s="36"/>
      <c r="N47" s="50">
        <f>109494.54+135773.22+131393.44+135773.22</f>
        <v>512434.42000000004</v>
      </c>
      <c r="O47" s="50">
        <f>109494.54+135773.22+131393.44+135773.22</f>
        <v>512434.42000000004</v>
      </c>
      <c r="P47" s="47">
        <f>N47-O47</f>
        <v>0</v>
      </c>
      <c r="Q47" s="50">
        <f>K47+P47</f>
        <v>10000000</v>
      </c>
    </row>
    <row r="48" spans="1:17" s="3" customFormat="1" ht="15" customHeight="1">
      <c r="A48" s="68" t="s">
        <v>15</v>
      </c>
      <c r="B48" s="45"/>
      <c r="C48" s="30"/>
      <c r="D48" s="31"/>
      <c r="E48" s="32">
        <f>E43+E44+E44+E45+E46</f>
        <v>35000000</v>
      </c>
      <c r="F48" s="32"/>
      <c r="G48" s="32"/>
      <c r="H48" s="200">
        <f>H43+H44+H45+H46</f>
        <v>22537000</v>
      </c>
      <c r="I48" s="200">
        <f>I43+I44+I45+I46+I47</f>
        <v>10000000</v>
      </c>
      <c r="J48" s="47">
        <f>J43+J44+J45+J46+J47</f>
        <v>4537000</v>
      </c>
      <c r="K48" s="47">
        <f>K43+K44+K45+K46+K47</f>
        <v>28000000</v>
      </c>
      <c r="L48" s="32"/>
      <c r="M48" s="32"/>
      <c r="N48" s="47">
        <f>N43+N44+N42+N45+N46+N47</f>
        <v>2982941.8500000006</v>
      </c>
      <c r="O48" s="47">
        <f>O43+O44+O42+O45+O46+O47</f>
        <v>2982941.8500000006</v>
      </c>
      <c r="P48" s="47">
        <f>P43+P44+P42+P45+P46</f>
        <v>0</v>
      </c>
      <c r="Q48" s="47">
        <f>Q43+Q44+Q45+Q46+Q47</f>
        <v>28000000</v>
      </c>
    </row>
    <row r="49" spans="1:17" s="3" customFormat="1" ht="10.5" customHeight="1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Q49" s="40"/>
    </row>
    <row r="50" spans="1:17" s="3" customFormat="1" ht="10.5" customHeight="1">
      <c r="A50" s="28"/>
      <c r="B50" s="29"/>
      <c r="C50" s="30"/>
      <c r="D50" s="31"/>
      <c r="E50" s="32"/>
      <c r="F50" s="33"/>
      <c r="G50" s="34"/>
      <c r="H50" s="35"/>
      <c r="I50" s="36"/>
      <c r="J50" s="37"/>
      <c r="K50" s="36"/>
      <c r="L50" s="36"/>
      <c r="M50" s="36"/>
      <c r="N50" s="36"/>
      <c r="O50" s="36"/>
      <c r="P50" s="36"/>
      <c r="Q50" s="36"/>
    </row>
    <row r="51" spans="1:17" s="3" customFormat="1" ht="12.75" customHeight="1">
      <c r="A51" s="44" t="s">
        <v>15</v>
      </c>
      <c r="B51" s="45"/>
      <c r="C51" s="30"/>
      <c r="D51" s="31"/>
      <c r="E51" s="32"/>
      <c r="F51" s="33"/>
      <c r="G51" s="34"/>
      <c r="H51" s="35"/>
      <c r="I51" s="36"/>
      <c r="J51" s="37"/>
      <c r="K51" s="36"/>
      <c r="L51" s="36"/>
      <c r="M51" s="36"/>
      <c r="N51" s="36"/>
      <c r="O51" s="36"/>
      <c r="P51" s="36"/>
      <c r="Q51" s="36"/>
    </row>
    <row r="52" spans="1:17" s="24" customFormat="1" ht="23.25" customHeight="1">
      <c r="A52" s="224" t="s">
        <v>17</v>
      </c>
      <c r="B52" s="225"/>
      <c r="C52" s="226"/>
      <c r="D52" s="226"/>
      <c r="E52" s="226"/>
      <c r="F52" s="227"/>
      <c r="G52" s="23"/>
      <c r="H52" s="57">
        <f>H38+H48</f>
        <v>61887000</v>
      </c>
      <c r="I52" s="57">
        <f>I38+I48</f>
        <v>43735000</v>
      </c>
      <c r="J52" s="56">
        <f>J38+J48</f>
        <v>7187000</v>
      </c>
      <c r="K52" s="56">
        <f>K38+K48</f>
        <v>98435000</v>
      </c>
      <c r="L52" s="58"/>
      <c r="M52" s="56">
        <f>M38+M48</f>
        <v>81607.23</v>
      </c>
      <c r="N52" s="56">
        <f>N38+N48</f>
        <v>4291233.3400000008</v>
      </c>
      <c r="O52" s="56">
        <f>O38+O48</f>
        <v>4186280.3600000003</v>
      </c>
      <c r="P52" s="56">
        <f>P38+P48</f>
        <v>186560.21000000002</v>
      </c>
      <c r="Q52" s="187">
        <f>Q38+Q48</f>
        <v>98621560.209999993</v>
      </c>
    </row>
    <row r="53" spans="1:17" ht="10.5" customHeight="1">
      <c r="A53" s="18"/>
      <c r="B53" s="25"/>
      <c r="C53" s="19"/>
      <c r="D53" s="19"/>
      <c r="E53" s="20"/>
      <c r="F53" s="22"/>
      <c r="G53" s="22"/>
      <c r="H53" s="26"/>
      <c r="I53" s="27"/>
      <c r="J53" s="27"/>
      <c r="K53" s="26"/>
      <c r="L53" s="26"/>
      <c r="M53" s="26"/>
      <c r="N53" s="26"/>
      <c r="O53" s="26"/>
      <c r="P53" s="26"/>
      <c r="Q53" s="26"/>
    </row>
    <row r="54" spans="1:17">
      <c r="N54" s="71"/>
    </row>
    <row r="55" spans="1:17" ht="17.25" customHeight="1">
      <c r="B55" s="214" t="s">
        <v>50</v>
      </c>
      <c r="C55" s="215"/>
      <c r="D55" s="215"/>
      <c r="E55" s="216"/>
      <c r="F55" s="217"/>
      <c r="G55" s="217"/>
      <c r="H55" s="218"/>
      <c r="I55" s="219"/>
      <c r="J55" s="219"/>
      <c r="K55" s="219"/>
    </row>
    <row r="58" spans="1:17" ht="15.75">
      <c r="B58" s="214" t="s">
        <v>74</v>
      </c>
      <c r="C58" s="220"/>
      <c r="D58" s="220"/>
      <c r="E58" s="220"/>
      <c r="F58" s="220"/>
      <c r="G58" s="220"/>
      <c r="H58" s="220"/>
      <c r="I58" s="220"/>
      <c r="J58" s="220"/>
      <c r="K58" s="220"/>
    </row>
    <row r="60" spans="1:17" ht="25.5">
      <c r="B60" s="201"/>
      <c r="C60" s="5" t="s">
        <v>27</v>
      </c>
    </row>
    <row r="72" spans="3:3" ht="16.5" customHeight="1"/>
    <row r="73" spans="3:3" ht="30" customHeight="1">
      <c r="C73" s="21"/>
    </row>
  </sheetData>
  <mergeCells count="12">
    <mergeCell ref="B55:K55"/>
    <mergeCell ref="B58:K58"/>
    <mergeCell ref="L1:Q2"/>
    <mergeCell ref="A49:M49"/>
    <mergeCell ref="A52:F52"/>
    <mergeCell ref="N5:O5"/>
    <mergeCell ref="A39:M39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8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9"/>
  <sheetViews>
    <sheetView view="pageBreakPreview" topLeftCell="D17" workbookViewId="0">
      <selection activeCell="P21" sqref="P21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140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36" t="s">
        <v>35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95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3</v>
      </c>
      <c r="B16" s="29" t="s">
        <v>24</v>
      </c>
      <c r="C16" s="30" t="s">
        <v>65</v>
      </c>
      <c r="D16" s="31" t="s">
        <v>32</v>
      </c>
      <c r="E16" s="47">
        <v>0</v>
      </c>
      <c r="F16" s="48">
        <v>42448</v>
      </c>
      <c r="G16" s="65" t="s">
        <v>43</v>
      </c>
      <c r="H16" s="36">
        <v>0</v>
      </c>
      <c r="I16" s="36"/>
      <c r="J16" s="36">
        <v>0</v>
      </c>
      <c r="K16" s="36">
        <f>H16-J16+I16</f>
        <v>0</v>
      </c>
      <c r="L16" s="69">
        <f>8.25*1/3</f>
        <v>2.75</v>
      </c>
      <c r="M16" s="50">
        <v>526.34</v>
      </c>
      <c r="N16" s="50">
        <f>5.98+6.05+5.92+6.12+5.92</f>
        <v>29.990000000000002</v>
      </c>
      <c r="O16" s="50">
        <f>5.92+6.12+544.29+5.92</f>
        <v>562.24999999999989</v>
      </c>
      <c r="P16" s="50">
        <f>N16-O16+M16</f>
        <v>-5.9199999999998454</v>
      </c>
      <c r="Q16" s="50">
        <f>K16+P16</f>
        <v>-5.9199999999998454</v>
      </c>
    </row>
    <row r="17" spans="1:17" ht="105">
      <c r="A17" s="61" t="s">
        <v>51</v>
      </c>
      <c r="B17" s="29" t="s">
        <v>24</v>
      </c>
      <c r="C17" s="30" t="s">
        <v>85</v>
      </c>
      <c r="D17" s="31" t="s">
        <v>32</v>
      </c>
      <c r="E17" s="47">
        <v>800000</v>
      </c>
      <c r="F17" s="48">
        <v>42819</v>
      </c>
      <c r="G17" s="65" t="s">
        <v>43</v>
      </c>
      <c r="H17" s="36">
        <v>614000</v>
      </c>
      <c r="I17" s="36"/>
      <c r="J17" s="36">
        <f>22000+11000+22000+5000+5000</f>
        <v>65000</v>
      </c>
      <c r="K17" s="36">
        <f>H17-J17+I17</f>
        <v>549000</v>
      </c>
      <c r="L17" s="69">
        <f>8.25*1/3</f>
        <v>2.75</v>
      </c>
      <c r="M17" s="50">
        <v>1621.62</v>
      </c>
      <c r="N17" s="50">
        <f>1635.44+2045.35+1912.09+40.83+250.07+1912.09+82.56+250.07+1887.78+85.31+250.07+1784.11+82.56+72.6+1791.04+85.31+48.4+1736.29+107.19+250.07+1669.59+84.51+40.33+1734.52+80.67+34</f>
        <v>19952.849999999999</v>
      </c>
      <c r="O17" s="50">
        <f>1912.09+250.07+82.56+85.31+250.07+1887.78+82.56+1784.11+72.6+1669.59+40.33+84.51</f>
        <v>8201.58</v>
      </c>
      <c r="P17" s="50">
        <f>N17-O17+M17</f>
        <v>13372.89</v>
      </c>
      <c r="Q17" s="50">
        <f>K17+P17</f>
        <v>562372.89</v>
      </c>
    </row>
    <row r="18" spans="1:17" ht="105">
      <c r="A18" s="61"/>
      <c r="B18" s="29" t="s">
        <v>24</v>
      </c>
      <c r="C18" s="30" t="s">
        <v>81</v>
      </c>
      <c r="D18" s="31" t="s">
        <v>32</v>
      </c>
      <c r="E18" s="47">
        <v>1500000</v>
      </c>
      <c r="F18" s="48">
        <v>43459</v>
      </c>
      <c r="G18" s="65" t="s">
        <v>43</v>
      </c>
      <c r="H18" s="36">
        <v>1500000</v>
      </c>
      <c r="I18" s="36">
        <v>0</v>
      </c>
      <c r="J18" s="36">
        <f>33000+16500+33000+5000+5000</f>
        <v>92500</v>
      </c>
      <c r="K18" s="36">
        <f>H18-J18+I18</f>
        <v>1407500</v>
      </c>
      <c r="L18" s="69">
        <v>2.75</v>
      </c>
      <c r="M18" s="50">
        <v>1017.12</v>
      </c>
      <c r="N18" s="50">
        <f>3503.42+4837.32+4671.23+466.03+72.06+4520.55+451+160.24+4634.77+466.03+165.58+4411.15+451+160.24+4497.19+375.1+165.58+4409.79+375.1+222.84+4256.85+60.5+180.49+3987.9+72+172.29</f>
        <v>47746.25</v>
      </c>
      <c r="O18" s="50">
        <f>4520.55+451+160.24+466.03+165.58+4634.77+160.24+451+4411.15+4256.85+60.5+180.49</f>
        <v>19918.400000000001</v>
      </c>
      <c r="P18" s="50">
        <f>N18-O18+M18</f>
        <v>28844.969999999998</v>
      </c>
      <c r="Q18" s="50">
        <f>K18+P18</f>
        <v>1436344.97</v>
      </c>
    </row>
    <row r="19" spans="1:17" ht="69.75" customHeight="1">
      <c r="A19" s="61"/>
      <c r="B19" s="29" t="s">
        <v>24</v>
      </c>
      <c r="C19" s="30" t="s">
        <v>93</v>
      </c>
      <c r="D19" s="31" t="s">
        <v>32</v>
      </c>
      <c r="E19" s="47">
        <v>1750000</v>
      </c>
      <c r="F19" s="48">
        <v>43671</v>
      </c>
      <c r="G19" s="65" t="s">
        <v>43</v>
      </c>
      <c r="H19" s="36"/>
      <c r="I19" s="36">
        <v>1750000</v>
      </c>
      <c r="J19" s="36"/>
      <c r="K19" s="36">
        <f>H19-J19+I19</f>
        <v>1750000</v>
      </c>
      <c r="L19" s="69"/>
      <c r="M19" s="50"/>
      <c r="N19" s="50">
        <f>2461.19+5273.97+18.05+4954.34+31.84</f>
        <v>12739.39</v>
      </c>
      <c r="O19" s="50">
        <f>18.05+2959.72</f>
        <v>2977.77</v>
      </c>
      <c r="P19" s="50">
        <f>N19-O19+M19</f>
        <v>9761.619999999999</v>
      </c>
      <c r="Q19" s="50">
        <f>K19+P19</f>
        <v>1759761.62</v>
      </c>
    </row>
    <row r="20" spans="1:17" ht="105">
      <c r="A20" s="61"/>
      <c r="B20" s="29"/>
      <c r="C20" s="30" t="s">
        <v>94</v>
      </c>
      <c r="D20" s="31" t="s">
        <v>32</v>
      </c>
      <c r="E20" s="47">
        <v>1420000</v>
      </c>
      <c r="F20" s="48">
        <v>43824</v>
      </c>
      <c r="G20" s="65" t="s">
        <v>43</v>
      </c>
      <c r="H20" s="36"/>
      <c r="I20" s="36">
        <v>1420000</v>
      </c>
      <c r="J20" s="36"/>
      <c r="K20" s="36">
        <f>H20-J20+I20</f>
        <v>1420000</v>
      </c>
      <c r="L20" s="69"/>
      <c r="M20" s="50"/>
      <c r="N20" s="50">
        <v>3242.01</v>
      </c>
      <c r="O20" s="50"/>
      <c r="P20" s="50">
        <f>N20-O20+M20</f>
        <v>3242.01</v>
      </c>
      <c r="Q20" s="50">
        <f>K20+P20</f>
        <v>1423242.01</v>
      </c>
    </row>
    <row r="21" spans="1:17" ht="15">
      <c r="A21" s="44" t="s">
        <v>15</v>
      </c>
      <c r="B21" s="45"/>
      <c r="C21" s="30"/>
      <c r="D21" s="31"/>
      <c r="E21" s="47">
        <f>E16+E17+E18+E19+E20</f>
        <v>5470000</v>
      </c>
      <c r="F21" s="47"/>
      <c r="G21" s="47"/>
      <c r="H21" s="47">
        <f>H16+H17+H18</f>
        <v>2114000</v>
      </c>
      <c r="I21" s="47">
        <f>I18+I19+I20</f>
        <v>3170000</v>
      </c>
      <c r="J21" s="47">
        <f>J18+J19+J20+J17</f>
        <v>157500</v>
      </c>
      <c r="K21" s="47">
        <f>K18+K19+K20+K17</f>
        <v>5126500</v>
      </c>
      <c r="L21" s="47"/>
      <c r="M21" s="47">
        <f>M16+M17+M18</f>
        <v>3165.08</v>
      </c>
      <c r="N21" s="47">
        <f>N16+N17+N18+N19+N20</f>
        <v>83710.489999999991</v>
      </c>
      <c r="O21" s="47">
        <f t="shared" ref="O21:Q21" si="0">O16+O17+O18+O19+O20</f>
        <v>31660.000000000004</v>
      </c>
      <c r="P21" s="47">
        <f t="shared" si="0"/>
        <v>55215.57</v>
      </c>
      <c r="Q21" s="47">
        <f t="shared" si="0"/>
        <v>5181715.57</v>
      </c>
    </row>
    <row r="22" spans="1:17" ht="15">
      <c r="A22" s="222" t="s">
        <v>21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3"/>
      <c r="O22" s="3"/>
      <c r="P22" s="3"/>
      <c r="Q22" s="40"/>
    </row>
    <row r="23" spans="1:17" ht="5.25" customHeight="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/>
      <c r="O23" s="3"/>
      <c r="P23" s="3"/>
      <c r="Q23" s="40"/>
    </row>
    <row r="24" spans="1:17" ht="15" hidden="1">
      <c r="A24" s="67"/>
      <c r="B24" s="29"/>
      <c r="C24" s="30"/>
      <c r="D24" s="31"/>
      <c r="E24" s="32"/>
      <c r="F24" s="48"/>
      <c r="G24" s="34"/>
      <c r="H24" s="35"/>
      <c r="I24" s="36"/>
      <c r="J24" s="69"/>
      <c r="K24" s="50"/>
      <c r="L24" s="36"/>
      <c r="M24" s="36"/>
      <c r="N24" s="50"/>
      <c r="O24" s="50"/>
      <c r="P24" s="47"/>
      <c r="Q24" s="50"/>
    </row>
    <row r="25" spans="1:17" ht="15" hidden="1">
      <c r="A25" s="70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36"/>
      <c r="M25" s="36"/>
      <c r="N25" s="50"/>
      <c r="O25" s="50"/>
      <c r="P25" s="47"/>
      <c r="Q25" s="50"/>
    </row>
    <row r="26" spans="1:17" ht="15" hidden="1">
      <c r="A26" s="28"/>
      <c r="B26" s="29"/>
      <c r="C26" s="30"/>
      <c r="D26" s="31"/>
      <c r="E26" s="32"/>
      <c r="F26" s="48"/>
      <c r="G26" s="34"/>
      <c r="H26" s="35"/>
      <c r="I26" s="36"/>
      <c r="J26" s="69"/>
      <c r="K26" s="36"/>
      <c r="L26" s="50"/>
      <c r="M26" s="36"/>
      <c r="N26" s="50"/>
      <c r="O26" s="50"/>
      <c r="P26" s="47"/>
      <c r="Q26" s="50"/>
    </row>
    <row r="27" spans="1:17" ht="15">
      <c r="A27" s="68" t="s">
        <v>15</v>
      </c>
      <c r="B27" s="45"/>
      <c r="C27" s="30"/>
      <c r="D27" s="31"/>
      <c r="E27" s="32">
        <f>E24+E25+E26</f>
        <v>0</v>
      </c>
      <c r="F27" s="33"/>
      <c r="G27" s="34"/>
      <c r="H27" s="36">
        <f>H24+H25+H26</f>
        <v>0</v>
      </c>
      <c r="I27" s="36">
        <f t="shared" ref="I27:N27" si="1">I24+I25+I26</f>
        <v>0</v>
      </c>
      <c r="J27" s="36">
        <f t="shared" si="1"/>
        <v>0</v>
      </c>
      <c r="K27" s="36">
        <f t="shared" si="1"/>
        <v>0</v>
      </c>
      <c r="L27" s="36"/>
      <c r="M27" s="36">
        <f t="shared" si="1"/>
        <v>0</v>
      </c>
      <c r="N27" s="50">
        <f t="shared" si="1"/>
        <v>0</v>
      </c>
      <c r="O27" s="50">
        <f>O24+O25+O26</f>
        <v>0</v>
      </c>
      <c r="P27" s="36">
        <f>P24+P25+P26</f>
        <v>0</v>
      </c>
      <c r="Q27" s="36">
        <f>Q24+Q25+Q26</f>
        <v>0</v>
      </c>
    </row>
    <row r="28" spans="1:17" ht="15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3"/>
      <c r="O28" s="3"/>
      <c r="P28" s="3"/>
      <c r="Q28" s="40"/>
    </row>
    <row r="29" spans="1:17" ht="0.75" customHeight="1">
      <c r="A29" s="28"/>
      <c r="B29" s="29"/>
      <c r="C29" s="30"/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5">
      <c r="A30" s="44" t="s">
        <v>15</v>
      </c>
      <c r="B30" s="45"/>
      <c r="C30" s="30">
        <v>0</v>
      </c>
      <c r="D30" s="31"/>
      <c r="E30" s="32"/>
      <c r="F30" s="33"/>
      <c r="G30" s="34"/>
      <c r="H30" s="35"/>
      <c r="I30" s="36"/>
      <c r="J30" s="37"/>
      <c r="K30" s="36"/>
      <c r="L30" s="36"/>
      <c r="M30" s="36"/>
      <c r="N30" s="36"/>
      <c r="O30" s="36"/>
      <c r="P30" s="36"/>
      <c r="Q30" s="36"/>
    </row>
    <row r="31" spans="1:17" ht="18.75">
      <c r="A31" s="224" t="s">
        <v>17</v>
      </c>
      <c r="B31" s="225"/>
      <c r="C31" s="226"/>
      <c r="D31" s="226"/>
      <c r="E31" s="226"/>
      <c r="F31" s="227"/>
      <c r="G31" s="23"/>
      <c r="H31" s="57">
        <f>H21+H27</f>
        <v>2114000</v>
      </c>
      <c r="I31" s="57">
        <f>I21+I27</f>
        <v>3170000</v>
      </c>
      <c r="J31" s="56">
        <f>J21+J27</f>
        <v>157500</v>
      </c>
      <c r="K31" s="56">
        <f>K21+K27</f>
        <v>5126500</v>
      </c>
      <c r="L31" s="58"/>
      <c r="M31" s="57">
        <v>371.58</v>
      </c>
      <c r="N31" s="56">
        <f>N21+N27</f>
        <v>83710.489999999991</v>
      </c>
      <c r="O31" s="56">
        <f>O21+O27</f>
        <v>31660.000000000004</v>
      </c>
      <c r="P31" s="56">
        <f>P21+P27</f>
        <v>55215.57</v>
      </c>
      <c r="Q31" s="56">
        <f>Q21+Q27</f>
        <v>5181715.57</v>
      </c>
    </row>
    <row r="32" spans="1:17" ht="18.75">
      <c r="A32" s="18"/>
      <c r="B32" s="25"/>
      <c r="C32" s="19"/>
      <c r="D32" s="19"/>
      <c r="E32" s="20"/>
      <c r="F32" s="22"/>
      <c r="G32" s="22"/>
      <c r="H32" s="26"/>
      <c r="I32" s="27"/>
      <c r="J32" s="27"/>
      <c r="K32" s="26"/>
      <c r="L32" s="26"/>
      <c r="M32" s="26"/>
      <c r="N32" s="26"/>
      <c r="O32" s="26"/>
      <c r="P32" s="26"/>
      <c r="Q32" s="26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71"/>
      <c r="O33" s="1"/>
      <c r="P33" s="1"/>
      <c r="Q33" s="1"/>
    </row>
    <row r="34" spans="1:17" ht="15.75">
      <c r="A34" s="1"/>
      <c r="B34" s="214" t="s">
        <v>53</v>
      </c>
      <c r="C34" s="215"/>
      <c r="D34" s="215"/>
      <c r="E34" s="216"/>
      <c r="F34" s="217"/>
      <c r="G34" s="217"/>
      <c r="H34" s="218"/>
      <c r="I34" s="219"/>
      <c r="J34" s="219"/>
      <c r="K34" s="219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>
      <c r="A37" s="1"/>
      <c r="B37" s="214" t="s">
        <v>72</v>
      </c>
      <c r="C37" s="220"/>
      <c r="D37" s="220"/>
      <c r="E37" s="220"/>
      <c r="F37" s="220"/>
      <c r="G37" s="220"/>
      <c r="H37" s="220"/>
      <c r="I37" s="220"/>
      <c r="J37" s="220"/>
      <c r="K37" s="220"/>
      <c r="L37" s="1"/>
      <c r="M37" s="1"/>
      <c r="N37" s="1"/>
      <c r="O37" s="1"/>
      <c r="P37" s="1"/>
      <c r="Q37" s="1"/>
    </row>
    <row r="38" spans="1:17">
      <c r="A38" s="1"/>
      <c r="B38" s="11"/>
      <c r="C38" s="5"/>
      <c r="D38" s="5"/>
      <c r="E38" s="10"/>
      <c r="F38" s="13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5.5">
      <c r="A39" s="1"/>
      <c r="B39" s="11"/>
      <c r="C39" s="5" t="s">
        <v>27</v>
      </c>
      <c r="D39" s="5"/>
      <c r="E39" s="10"/>
      <c r="F39" s="13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mergeCells count="11">
    <mergeCell ref="B34:K34"/>
    <mergeCell ref="B37:K37"/>
    <mergeCell ref="A10:M10"/>
    <mergeCell ref="A13:M13"/>
    <mergeCell ref="A22:M22"/>
    <mergeCell ref="A28:M28"/>
    <mergeCell ref="A1:Q1"/>
    <mergeCell ref="D2:K2"/>
    <mergeCell ref="N3:O3"/>
    <mergeCell ref="F5:J5"/>
    <mergeCell ref="A31:F31"/>
  </mergeCells>
  <phoneticPr fontId="8" type="noConversion"/>
  <pageMargins left="0.74803149606299213" right="0.74803149606299213" top="0.51181102362204722" bottom="0.51181102362204722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7" workbookViewId="0">
      <selection activeCell="A21" sqref="A21:M21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36" t="s">
        <v>36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96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62</v>
      </c>
      <c r="D16" s="31" t="s">
        <v>32</v>
      </c>
      <c r="E16" s="47">
        <v>500000</v>
      </c>
      <c r="F16" s="48">
        <v>42819</v>
      </c>
      <c r="G16" s="65" t="s">
        <v>43</v>
      </c>
      <c r="H16" s="36">
        <v>206000</v>
      </c>
      <c r="I16" s="36"/>
      <c r="J16" s="36">
        <f>14000+14000+14000+14000+14000+14000+28000+14000+14000</f>
        <v>140000</v>
      </c>
      <c r="K16" s="36">
        <f>H16-J16+I16</f>
        <v>66000</v>
      </c>
      <c r="L16" s="69">
        <v>2.75</v>
      </c>
      <c r="M16" s="50">
        <v>510.97</v>
      </c>
      <c r="N16" s="50">
        <f>500.12+752.48+589.48+159.13+8.47+536.44+154+14.3+517.75+159.13+5.45+442.21+46.2+20.43+410.87+35.93+50.2+354.61+35.93+5.65+270.63+3.64+193.24+3.31</f>
        <v>5269.6</v>
      </c>
      <c r="O16" s="50">
        <f>510.97+152.35+154+14.3+536.44+517.75+159.13+5.45+61.45+20.43+2284.29+5.65+35.93+354.61+270.63+3.64</f>
        <v>5087.0199999999995</v>
      </c>
      <c r="P16" s="50">
        <f>M16+N16-O16</f>
        <v>693.55000000000109</v>
      </c>
      <c r="Q16" s="50">
        <f>K16+P16</f>
        <v>66693.55</v>
      </c>
    </row>
    <row r="17" spans="1:17" ht="105">
      <c r="A17" s="28"/>
      <c r="B17" s="29" t="s">
        <v>24</v>
      </c>
      <c r="C17" s="30" t="s">
        <v>80</v>
      </c>
      <c r="D17" s="31" t="s">
        <v>32</v>
      </c>
      <c r="E17" s="47">
        <v>700000</v>
      </c>
      <c r="F17" s="48">
        <v>43459</v>
      </c>
      <c r="G17" s="65" t="s">
        <v>43</v>
      </c>
      <c r="H17" s="36">
        <v>700000</v>
      </c>
      <c r="I17" s="36">
        <v>0</v>
      </c>
      <c r="J17" s="36">
        <f>20000+20000+20000+20000+80000+20000+20000</f>
        <v>200000</v>
      </c>
      <c r="K17" s="36">
        <f>H17-J17+I17</f>
        <v>500000</v>
      </c>
      <c r="L17" s="69">
        <v>2.75</v>
      </c>
      <c r="M17" s="50">
        <v>474.66</v>
      </c>
      <c r="N17" s="50">
        <f>1634.93+2263.33+5856.62+227.39+28.29+-1639.45+220+107.65+2091.51+227.33+23.9+2041.28+51.33+89.62+1974.98+51.33+40.26+1858.45+51.33+138.94+1609.32+89.64+1435.62+81.49</f>
        <v>20555.09</v>
      </c>
      <c r="O17" s="50">
        <f>474.66+224.06+107.65+220+2091.51+227.33+23.9+82.95+89.62+51.33+138.94+1858.45+1609.32+89.64</f>
        <v>7289.36</v>
      </c>
      <c r="P17" s="50">
        <f>M17+N17-O17</f>
        <v>13740.39</v>
      </c>
      <c r="Q17" s="50">
        <f>K17+P17</f>
        <v>513740.39</v>
      </c>
    </row>
    <row r="18" spans="1:17" ht="105">
      <c r="A18" s="28"/>
      <c r="B18" s="29" t="s">
        <v>24</v>
      </c>
      <c r="C18" s="30" t="s">
        <v>97</v>
      </c>
      <c r="D18" s="31" t="s">
        <v>32</v>
      </c>
      <c r="E18" s="47">
        <v>375000</v>
      </c>
      <c r="F18" s="48">
        <v>43758</v>
      </c>
      <c r="G18" s="65" t="s">
        <v>43</v>
      </c>
      <c r="H18" s="36"/>
      <c r="I18" s="36">
        <v>375000</v>
      </c>
      <c r="J18" s="36">
        <v>375000</v>
      </c>
      <c r="K18" s="36">
        <f>H18-J18+I18</f>
        <v>0</v>
      </c>
      <c r="L18" s="52"/>
      <c r="M18" s="50"/>
      <c r="N18" s="50"/>
      <c r="O18" s="50"/>
      <c r="P18" s="50"/>
      <c r="Q18" s="50">
        <f>K18+P18</f>
        <v>0</v>
      </c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1575000</v>
      </c>
      <c r="F20" s="47"/>
      <c r="G20" s="47"/>
      <c r="H20" s="47">
        <f>H16+H18+H19+H17+H18</f>
        <v>906000</v>
      </c>
      <c r="I20" s="47">
        <f>I16+I18+I19+I17</f>
        <v>375000</v>
      </c>
      <c r="J20" s="47">
        <f>J16+J18+J19+J17</f>
        <v>715000</v>
      </c>
      <c r="K20" s="47">
        <f>K16+K18+K19+K17</f>
        <v>566000</v>
      </c>
      <c r="L20" s="47">
        <f t="shared" ref="L20:M20" si="0">L16+L18+L19+L17</f>
        <v>5.5</v>
      </c>
      <c r="M20" s="47">
        <f t="shared" si="0"/>
        <v>985.63000000000011</v>
      </c>
      <c r="N20" s="47">
        <f>N16+N18+N19+N17+N18</f>
        <v>25824.690000000002</v>
      </c>
      <c r="O20" s="47">
        <f t="shared" ref="O20:P20" si="1">O16+O18+O19+O17+O18</f>
        <v>12376.38</v>
      </c>
      <c r="P20" s="47">
        <f t="shared" si="1"/>
        <v>14433.94</v>
      </c>
      <c r="Q20" s="47">
        <f>Q16+Q18+Q19+Q17</f>
        <v>580433.94000000006</v>
      </c>
    </row>
    <row r="21" spans="1:17" ht="15">
      <c r="A21" s="222" t="s">
        <v>21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2">I23+I24+I25</f>
        <v>0</v>
      </c>
      <c r="J26" s="36">
        <f t="shared" si="2"/>
        <v>0</v>
      </c>
      <c r="K26" s="36">
        <f t="shared" si="2"/>
        <v>0</v>
      </c>
      <c r="L26" s="36"/>
      <c r="M26" s="36">
        <f t="shared" si="2"/>
        <v>0</v>
      </c>
      <c r="N26" s="50">
        <f t="shared" si="2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24" t="s">
        <v>17</v>
      </c>
      <c r="B30" s="225"/>
      <c r="C30" s="226"/>
      <c r="D30" s="226"/>
      <c r="E30" s="226"/>
      <c r="F30" s="227"/>
      <c r="G30" s="23"/>
      <c r="H30" s="57">
        <f>H20+H26</f>
        <v>906000</v>
      </c>
      <c r="I30" s="57">
        <f>I20+I26</f>
        <v>375000</v>
      </c>
      <c r="J30" s="56">
        <f>J20+J26</f>
        <v>715000</v>
      </c>
      <c r="K30" s="56">
        <f>K20+K26</f>
        <v>566000</v>
      </c>
      <c r="L30" s="58"/>
      <c r="M30" s="57">
        <f>M20</f>
        <v>985.63000000000011</v>
      </c>
      <c r="N30" s="56">
        <f>N20+N26</f>
        <v>25824.690000000002</v>
      </c>
      <c r="O30" s="56">
        <f>O20+O26</f>
        <v>12376.38</v>
      </c>
      <c r="P30" s="56">
        <f>P20+P26</f>
        <v>14433.94</v>
      </c>
      <c r="Q30" s="56">
        <f>Q20+Q26</f>
        <v>580433.94000000006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14" t="s">
        <v>55</v>
      </c>
      <c r="C33" s="215"/>
      <c r="D33" s="215"/>
      <c r="E33" s="216"/>
      <c r="F33" s="217"/>
      <c r="G33" s="217"/>
      <c r="H33" s="218"/>
      <c r="I33" s="219"/>
      <c r="J33" s="219"/>
      <c r="K33" s="219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14" t="s">
        <v>73</v>
      </c>
      <c r="C36" s="220"/>
      <c r="D36" s="220"/>
      <c r="E36" s="220"/>
      <c r="F36" s="220"/>
      <c r="G36" s="220"/>
      <c r="H36" s="220"/>
      <c r="I36" s="220"/>
      <c r="J36" s="220"/>
      <c r="K36" s="220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54</v>
      </c>
      <c r="D38" s="5"/>
      <c r="E38" s="10"/>
      <c r="F38" s="13"/>
      <c r="G38" s="13"/>
      <c r="H38" s="1"/>
      <c r="I38" s="1"/>
      <c r="J38" s="1" t="s">
        <v>56</v>
      </c>
      <c r="K38" s="1"/>
      <c r="L38" s="1"/>
      <c r="M38" s="1"/>
      <c r="N38" s="1"/>
      <c r="O38" s="1"/>
      <c r="P38" s="1"/>
      <c r="Q38" s="1"/>
    </row>
  </sheetData>
  <mergeCells count="11">
    <mergeCell ref="B36:K36"/>
    <mergeCell ref="A10:M10"/>
    <mergeCell ref="A13:M13"/>
    <mergeCell ref="A21:M21"/>
    <mergeCell ref="A27:M27"/>
    <mergeCell ref="B33:K33"/>
    <mergeCell ref="A1:Q1"/>
    <mergeCell ref="D2:K2"/>
    <mergeCell ref="N3:O3"/>
    <mergeCell ref="F5:J5"/>
    <mergeCell ref="A30:F30"/>
  </mergeCells>
  <phoneticPr fontId="8" type="noConversion"/>
  <pageMargins left="0.74803149606299213" right="0.74803149606299213" top="0.51181102362204722" bottom="0.27559055118110237" header="0.51181102362204722" footer="0.2362204724409449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J17" sqref="J17"/>
    </sheetView>
  </sheetViews>
  <sheetFormatPr defaultRowHeight="12.75"/>
  <cols>
    <col min="3" max="3" width="14.5703125" customWidth="1"/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54" t="s">
        <v>40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6"/>
      <c r="P1" s="256"/>
      <c r="Q1" s="256"/>
    </row>
    <row r="2" spans="1:17" ht="20.25">
      <c r="A2" s="74"/>
      <c r="B2" s="75"/>
      <c r="C2" s="75"/>
      <c r="D2" s="257" t="s">
        <v>99</v>
      </c>
      <c r="E2" s="258"/>
      <c r="F2" s="258"/>
      <c r="G2" s="258"/>
      <c r="H2" s="258"/>
      <c r="I2" s="258"/>
      <c r="J2" s="258"/>
      <c r="K2" s="258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59" t="s">
        <v>22</v>
      </c>
      <c r="O3" s="259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60"/>
      <c r="G5" s="260"/>
      <c r="H5" s="260"/>
      <c r="I5" s="260"/>
      <c r="J5" s="260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62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3" t="s">
        <v>19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41" t="s">
        <v>20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121.5">
      <c r="A15" s="90">
        <v>1</v>
      </c>
      <c r="B15" s="91" t="s">
        <v>24</v>
      </c>
      <c r="C15" s="92" t="s">
        <v>63</v>
      </c>
      <c r="D15" s="93"/>
      <c r="E15" s="103">
        <v>380000</v>
      </c>
      <c r="F15" s="104">
        <v>42819</v>
      </c>
      <c r="G15" s="108" t="s">
        <v>43</v>
      </c>
      <c r="H15" s="97">
        <v>171000</v>
      </c>
      <c r="I15" s="97"/>
      <c r="J15" s="97">
        <f>26000+26000+26000+26000+30000</f>
        <v>134000</v>
      </c>
      <c r="K15" s="97">
        <f>H15-J15+I15</f>
        <v>37000</v>
      </c>
      <c r="L15" s="107">
        <v>2.75</v>
      </c>
      <c r="M15" s="107">
        <v>939.82</v>
      </c>
      <c r="N15" s="107">
        <f>543.8+678.63+532.52+181.87+16.65+515.34+176+22.28+503.79+181.87+22.28+418.7+46.93+31.83+347.08+41.07+32.89+266.11+41.07+37.67+201.92+29.33+26.83+123.93+25.61</f>
        <v>5045.9999999999991</v>
      </c>
      <c r="O15" s="107">
        <f>713.62+503.79+181.87+22.28+497.46+201.92+26.83+29.33</f>
        <v>2177.1</v>
      </c>
      <c r="P15" s="107">
        <f>M15+N15-O15</f>
        <v>3808.7199999999989</v>
      </c>
      <c r="Q15" s="107">
        <f>K15+P15</f>
        <v>40808.720000000001</v>
      </c>
    </row>
    <row r="16" spans="1:17" ht="121.5">
      <c r="A16" s="90"/>
      <c r="B16" s="91" t="s">
        <v>24</v>
      </c>
      <c r="C16" s="92" t="s">
        <v>98</v>
      </c>
      <c r="D16" s="93"/>
      <c r="E16" s="103">
        <v>350000</v>
      </c>
      <c r="F16" s="104">
        <v>43758</v>
      </c>
      <c r="G16" s="108" t="s">
        <v>43</v>
      </c>
      <c r="H16" s="97"/>
      <c r="I16" s="97">
        <v>350000</v>
      </c>
      <c r="J16" s="97">
        <v>350000</v>
      </c>
      <c r="K16" s="97">
        <f>H16-J16+I16</f>
        <v>0</v>
      </c>
      <c r="L16" s="106"/>
      <c r="M16" s="107"/>
      <c r="N16" s="107"/>
      <c r="O16" s="107"/>
      <c r="P16" s="107"/>
      <c r="Q16" s="107">
        <f>K16+P16</f>
        <v>0</v>
      </c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>
        <f>E14+E15+E16+E17</f>
        <v>730000</v>
      </c>
      <c r="F18" s="103"/>
      <c r="G18" s="103"/>
      <c r="H18" s="103">
        <f t="shared" ref="H18:Q18" si="0">H14+H15+H16+H17</f>
        <v>171000</v>
      </c>
      <c r="I18" s="103">
        <f t="shared" si="0"/>
        <v>350000</v>
      </c>
      <c r="J18" s="103">
        <f t="shared" si="0"/>
        <v>484000</v>
      </c>
      <c r="K18" s="103">
        <f t="shared" si="0"/>
        <v>37000</v>
      </c>
      <c r="L18" s="103"/>
      <c r="M18" s="103">
        <f t="shared" si="0"/>
        <v>939.82</v>
      </c>
      <c r="N18" s="103">
        <f t="shared" si="0"/>
        <v>5045.9999999999991</v>
      </c>
      <c r="O18" s="103">
        <f t="shared" si="0"/>
        <v>2177.1</v>
      </c>
      <c r="P18" s="103">
        <f t="shared" si="0"/>
        <v>3808.7199999999989</v>
      </c>
      <c r="Q18" s="103">
        <f t="shared" si="0"/>
        <v>40808.720000000001</v>
      </c>
    </row>
    <row r="19" spans="1:17" ht="20.25">
      <c r="A19" s="243" t="s">
        <v>21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43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46" t="s">
        <v>17</v>
      </c>
      <c r="B28" s="247"/>
      <c r="C28" s="248"/>
      <c r="D28" s="248"/>
      <c r="E28" s="248"/>
      <c r="F28" s="249"/>
      <c r="G28" s="118"/>
      <c r="H28" s="119">
        <f>H18+H24</f>
        <v>171000</v>
      </c>
      <c r="I28" s="119">
        <f>I18+I24</f>
        <v>350000</v>
      </c>
      <c r="J28" s="120">
        <f>J18+J24</f>
        <v>484000</v>
      </c>
      <c r="K28" s="120">
        <f>K18+K24</f>
        <v>37000</v>
      </c>
      <c r="L28" s="121"/>
      <c r="M28" s="119">
        <f>M18</f>
        <v>939.82</v>
      </c>
      <c r="N28" s="120">
        <f>N18+N24</f>
        <v>5045.9999999999991</v>
      </c>
      <c r="O28" s="120">
        <f>O18+O24</f>
        <v>2177.1</v>
      </c>
      <c r="P28" s="107">
        <f>M28+N28-O28</f>
        <v>3808.7199999999989</v>
      </c>
      <c r="Q28" s="120">
        <f>Q18+Q24</f>
        <v>40808.720000000001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39" t="s">
        <v>52</v>
      </c>
      <c r="C31" s="250"/>
      <c r="D31" s="250"/>
      <c r="E31" s="251"/>
      <c r="F31" s="252"/>
      <c r="G31" s="252"/>
      <c r="H31" s="253"/>
      <c r="I31" s="240"/>
      <c r="J31" s="240"/>
      <c r="K31" s="240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39" t="s">
        <v>74</v>
      </c>
      <c r="C34" s="240"/>
      <c r="D34" s="240"/>
      <c r="E34" s="240"/>
      <c r="F34" s="240"/>
      <c r="G34" s="240"/>
      <c r="H34" s="240"/>
      <c r="I34" s="240"/>
      <c r="J34" s="240"/>
      <c r="K34" s="240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57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31496062992125984" bottom="0.35433070866141736" header="0.31496062992125984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J15" sqref="J15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36" t="s">
        <v>41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77"/>
      <c r="P1" s="277"/>
      <c r="Q1" s="277"/>
    </row>
    <row r="2" spans="1:17" ht="18.75">
      <c r="A2" s="130"/>
      <c r="B2" s="131"/>
      <c r="C2" s="131"/>
      <c r="D2" s="278" t="s">
        <v>99</v>
      </c>
      <c r="E2" s="279"/>
      <c r="F2" s="279"/>
      <c r="G2" s="279"/>
      <c r="H2" s="279"/>
      <c r="I2" s="279"/>
      <c r="J2" s="279"/>
      <c r="K2" s="279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80" t="s">
        <v>22</v>
      </c>
      <c r="O3" s="280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81"/>
      <c r="G5" s="281"/>
      <c r="H5" s="281"/>
      <c r="I5" s="281"/>
      <c r="J5" s="281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6" t="s">
        <v>19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64" t="s">
        <v>20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87.5">
      <c r="A15" s="146">
        <v>1</v>
      </c>
      <c r="B15" s="147" t="s">
        <v>24</v>
      </c>
      <c r="C15" s="148" t="s">
        <v>64</v>
      </c>
      <c r="D15" s="149" t="s">
        <v>32</v>
      </c>
      <c r="E15" s="159">
        <v>1100000</v>
      </c>
      <c r="F15" s="160">
        <v>42819</v>
      </c>
      <c r="G15" s="164" t="s">
        <v>43</v>
      </c>
      <c r="H15" s="153">
        <v>459000</v>
      </c>
      <c r="I15" s="153"/>
      <c r="J15" s="153">
        <v>0</v>
      </c>
      <c r="K15" s="153">
        <f>H15-J15+I15</f>
        <v>459000</v>
      </c>
      <c r="L15" s="171">
        <v>2.75</v>
      </c>
      <c r="M15" s="163">
        <v>1485.23</v>
      </c>
      <c r="N15" s="163">
        <f>1170.32+1685.32+1429.4+352.37+33.42+1383.29+341+67.72+1429.4+341+90.34+1383.29+341+107.9+1429.4+352.37+41.98+1429.4+352.37+136.17+1383.29+56.83+27.44+1299.45+62+36.46</f>
        <v>16762.93</v>
      </c>
      <c r="O15" s="163">
        <f>7948.06+3692.93</f>
        <v>11640.99</v>
      </c>
      <c r="P15" s="163">
        <f>N15-O15+M15</f>
        <v>6607.17</v>
      </c>
      <c r="Q15" s="163">
        <f>K15+M15+N15-O15</f>
        <v>465607.17</v>
      </c>
    </row>
    <row r="16" spans="1:17" ht="187.5">
      <c r="A16" s="146">
        <v>2</v>
      </c>
      <c r="B16" s="147" t="s">
        <v>24</v>
      </c>
      <c r="C16" s="148" t="s">
        <v>100</v>
      </c>
      <c r="D16" s="149" t="s">
        <v>32</v>
      </c>
      <c r="E16" s="159">
        <v>836000</v>
      </c>
      <c r="F16" s="160">
        <v>42663</v>
      </c>
      <c r="G16" s="164" t="s">
        <v>43</v>
      </c>
      <c r="H16" s="153"/>
      <c r="I16" s="153">
        <v>836000</v>
      </c>
      <c r="J16" s="153"/>
      <c r="K16" s="153">
        <f>H16-J16+I16</f>
        <v>836000</v>
      </c>
      <c r="L16" s="162"/>
      <c r="M16" s="163"/>
      <c r="N16" s="163">
        <v>2603.4299999999998</v>
      </c>
      <c r="O16" s="163"/>
      <c r="P16" s="163">
        <f>N16-O16+M16</f>
        <v>2603.4299999999998</v>
      </c>
      <c r="Q16" s="163">
        <f>K16+M16+N16-O16</f>
        <v>838603.43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1936000</v>
      </c>
      <c r="F18" s="159"/>
      <c r="G18" s="159"/>
      <c r="H18" s="159">
        <v>459000</v>
      </c>
      <c r="I18" s="159">
        <v>836000</v>
      </c>
      <c r="J18" s="159">
        <f t="shared" ref="J18:Q18" si="0">J15+J16+J17</f>
        <v>0</v>
      </c>
      <c r="K18" s="159">
        <f t="shared" si="0"/>
        <v>1295000</v>
      </c>
      <c r="L18" s="159">
        <f t="shared" si="0"/>
        <v>2.75</v>
      </c>
      <c r="M18" s="159">
        <f t="shared" si="0"/>
        <v>1485.23</v>
      </c>
      <c r="N18" s="159">
        <f t="shared" si="0"/>
        <v>19366.36</v>
      </c>
      <c r="O18" s="159">
        <f t="shared" si="0"/>
        <v>11640.99</v>
      </c>
      <c r="P18" s="159">
        <f t="shared" si="0"/>
        <v>9210.6</v>
      </c>
      <c r="Q18" s="159">
        <f t="shared" si="0"/>
        <v>1304210.6000000001</v>
      </c>
    </row>
    <row r="19" spans="1:17" ht="18.75">
      <c r="A19" s="266" t="s">
        <v>21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6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9" t="s">
        <v>17</v>
      </c>
      <c r="B28" s="270"/>
      <c r="C28" s="271"/>
      <c r="D28" s="271"/>
      <c r="E28" s="271"/>
      <c r="F28" s="272"/>
      <c r="G28" s="174"/>
      <c r="H28" s="175">
        <f>H18+H24</f>
        <v>459000</v>
      </c>
      <c r="I28" s="175">
        <f>I18+I24</f>
        <v>836000</v>
      </c>
      <c r="J28" s="176">
        <f>J18+J24</f>
        <v>0</v>
      </c>
      <c r="K28" s="176">
        <f>K18+K24</f>
        <v>1295000</v>
      </c>
      <c r="L28" s="58"/>
      <c r="M28" s="175">
        <f>M18</f>
        <v>1485.23</v>
      </c>
      <c r="N28" s="176">
        <f>N18+N24</f>
        <v>19366.36</v>
      </c>
      <c r="O28" s="176">
        <f>O18+O24</f>
        <v>11640.99</v>
      </c>
      <c r="P28" s="176">
        <f>P18+P24</f>
        <v>9210.6</v>
      </c>
      <c r="Q28" s="176">
        <f>K28+P28</f>
        <v>1304210.6000000001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62" t="s">
        <v>52</v>
      </c>
      <c r="C31" s="273"/>
      <c r="D31" s="273"/>
      <c r="E31" s="274"/>
      <c r="F31" s="275"/>
      <c r="G31" s="275"/>
      <c r="H31" s="276"/>
      <c r="I31" s="263"/>
      <c r="J31" s="263"/>
      <c r="K31" s="263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62" t="s">
        <v>75</v>
      </c>
      <c r="C34" s="263"/>
      <c r="D34" s="263"/>
      <c r="E34" s="263"/>
      <c r="F34" s="263"/>
      <c r="G34" s="263"/>
      <c r="H34" s="263"/>
      <c r="I34" s="263"/>
      <c r="J34" s="263"/>
      <c r="K34" s="263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76</v>
      </c>
      <c r="J36" s="1"/>
      <c r="K36" s="1"/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32" right="0.18" top="0.31496062992125984" bottom="0.31496062992125984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A9" zoomScale="60" workbookViewId="0">
      <selection activeCell="Q20" sqref="Q20"/>
    </sheetView>
  </sheetViews>
  <sheetFormatPr defaultRowHeight="12.75"/>
  <cols>
    <col min="2" max="2" width="13.7109375" customWidth="1"/>
    <col min="3" max="3" width="18.42578125" customWidth="1"/>
    <col min="4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36" t="s">
        <v>44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77"/>
      <c r="P1" s="277"/>
      <c r="Q1" s="277"/>
    </row>
    <row r="2" spans="1:17" ht="18.75">
      <c r="A2" s="130"/>
      <c r="B2" s="131"/>
      <c r="C2" s="131"/>
      <c r="D2" s="278" t="s">
        <v>96</v>
      </c>
      <c r="E2" s="279"/>
      <c r="F2" s="279"/>
      <c r="G2" s="279"/>
      <c r="H2" s="279"/>
      <c r="I2" s="279"/>
      <c r="J2" s="279"/>
      <c r="K2" s="279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80" t="s">
        <v>22</v>
      </c>
      <c r="O3" s="280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81"/>
      <c r="G5" s="281"/>
      <c r="H5" s="281"/>
      <c r="I5" s="281"/>
      <c r="J5" s="281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68.7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6" t="s">
        <v>19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64" t="s">
        <v>20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1</v>
      </c>
      <c r="B15" s="147" t="s">
        <v>24</v>
      </c>
      <c r="C15" s="148" t="s">
        <v>47</v>
      </c>
      <c r="D15" s="149" t="s">
        <v>32</v>
      </c>
      <c r="E15" s="159">
        <v>780000</v>
      </c>
      <c r="F15" s="160">
        <v>42389</v>
      </c>
      <c r="G15" s="164" t="s">
        <v>43</v>
      </c>
      <c r="H15" s="153">
        <v>211230</v>
      </c>
      <c r="I15" s="153"/>
      <c r="J15" s="153">
        <f>8154+8154+8154+16308+16308+16308+8154</f>
        <v>81540</v>
      </c>
      <c r="K15" s="153">
        <f>H15-J15+I15</f>
        <v>129690</v>
      </c>
      <c r="L15" s="163">
        <v>2.75</v>
      </c>
      <c r="M15" s="163">
        <v>536.63</v>
      </c>
      <c r="N15" s="163">
        <f>567.43+709.77+635.69+9.83+92.68+612.01+22.17+89.69+632.41+31.14+92.68+587.44+24.4+89.69+581.62+33.19+92.68+581.62+41.23+92.68+553.03+370.88</f>
        <v>6543.9599999999982</v>
      </c>
      <c r="O15" s="163">
        <f>536.63+1108.71+156.21+12.28+4342.85+553.03</f>
        <v>6709.71</v>
      </c>
      <c r="P15" s="163">
        <f>N15-O15+M15</f>
        <v>370.87999999999818</v>
      </c>
      <c r="Q15" s="163">
        <f>K15+P15</f>
        <v>130060.88</v>
      </c>
    </row>
    <row r="16" spans="1:17" ht="156">
      <c r="A16" s="146">
        <v>2</v>
      </c>
      <c r="B16" s="147" t="s">
        <v>24</v>
      </c>
      <c r="C16" s="148" t="s">
        <v>58</v>
      </c>
      <c r="D16" s="149" t="s">
        <v>32</v>
      </c>
      <c r="E16" s="159">
        <v>500000</v>
      </c>
      <c r="F16" s="160">
        <v>42819</v>
      </c>
      <c r="G16" s="164" t="s">
        <v>43</v>
      </c>
      <c r="H16" s="153">
        <v>261435</v>
      </c>
      <c r="I16" s="153"/>
      <c r="J16" s="153">
        <f>8513+8513+8513+17026+17026+17026+8513</f>
        <v>85130</v>
      </c>
      <c r="K16" s="153">
        <f>H16-J16+I16</f>
        <v>176305</v>
      </c>
      <c r="L16" s="163">
        <v>2.75</v>
      </c>
      <c r="M16" s="163">
        <v>655.79</v>
      </c>
      <c r="N16" s="163">
        <f>688.77+861.51+791.06+8.13+96.76+762.23+26.91+93.64+787.64+37.84+96.76+736.58+29.71+93.64+736.58+40.48+93.64+734.62+50.37+96.76+700.66+503.02</f>
        <v>8067.3100000000013</v>
      </c>
      <c r="O16" s="163">
        <f>655.79+163.09+1372.23+14.96+5313.35+700.66</f>
        <v>8220.08</v>
      </c>
      <c r="P16" s="163">
        <f>N16-O16+M16</f>
        <v>503.02000000000135</v>
      </c>
      <c r="Q16" s="163">
        <f>K16+P16</f>
        <v>176808.02</v>
      </c>
    </row>
    <row r="17" spans="1:17" ht="156">
      <c r="A17" s="213">
        <v>3</v>
      </c>
      <c r="B17" s="147" t="s">
        <v>24</v>
      </c>
      <c r="C17" s="148" t="s">
        <v>101</v>
      </c>
      <c r="D17" s="149" t="s">
        <v>32</v>
      </c>
      <c r="E17" s="159">
        <v>204000</v>
      </c>
      <c r="F17" s="160">
        <v>43758</v>
      </c>
      <c r="G17" s="164" t="s">
        <v>43</v>
      </c>
      <c r="H17" s="153"/>
      <c r="I17" s="153">
        <v>204000</v>
      </c>
      <c r="J17" s="153"/>
      <c r="K17" s="153">
        <f t="shared" ref="K17:K18" si="0">H17-J17+I17</f>
        <v>204000</v>
      </c>
      <c r="L17" s="171"/>
      <c r="M17" s="163"/>
      <c r="N17" s="163">
        <v>353.97</v>
      </c>
      <c r="O17" s="163"/>
      <c r="P17" s="163">
        <f t="shared" ref="P17:P18" si="1">N17-O17+M17</f>
        <v>353.97</v>
      </c>
      <c r="Q17" s="163">
        <f t="shared" ref="Q17:Q18" si="2">K17+P17</f>
        <v>204353.97</v>
      </c>
    </row>
    <row r="18" spans="1:17" ht="156">
      <c r="A18" s="213">
        <v>4</v>
      </c>
      <c r="B18" s="147" t="s">
        <v>24</v>
      </c>
      <c r="C18" s="148" t="s">
        <v>102</v>
      </c>
      <c r="D18" s="149" t="s">
        <v>32</v>
      </c>
      <c r="E18" s="159">
        <v>216000</v>
      </c>
      <c r="F18" s="160">
        <v>43758</v>
      </c>
      <c r="G18" s="164" t="s">
        <v>43</v>
      </c>
      <c r="H18" s="153"/>
      <c r="I18" s="153">
        <v>216000</v>
      </c>
      <c r="J18" s="153"/>
      <c r="K18" s="153">
        <f t="shared" si="0"/>
        <v>216000</v>
      </c>
      <c r="L18" s="171"/>
      <c r="M18" s="163"/>
      <c r="N18" s="163">
        <v>19.73</v>
      </c>
      <c r="O18" s="163"/>
      <c r="P18" s="163">
        <f t="shared" si="1"/>
        <v>19.73</v>
      </c>
      <c r="Q18" s="163">
        <f t="shared" si="2"/>
        <v>216019.73</v>
      </c>
    </row>
    <row r="19" spans="1:17" ht="19.5">
      <c r="A19" s="167"/>
      <c r="B19" s="165"/>
      <c r="C19" s="148"/>
      <c r="D19" s="149"/>
      <c r="E19" s="159"/>
      <c r="F19" s="160"/>
      <c r="G19" s="166"/>
      <c r="H19" s="153"/>
      <c r="I19" s="153"/>
      <c r="J19" s="153"/>
      <c r="K19" s="153">
        <f>I19-J19</f>
        <v>0</v>
      </c>
      <c r="L19" s="162"/>
      <c r="M19" s="163"/>
      <c r="N19" s="163"/>
      <c r="O19" s="163"/>
      <c r="P19" s="163"/>
      <c r="Q19" s="163"/>
    </row>
    <row r="20" spans="1:17" ht="18.75">
      <c r="A20" s="155" t="s">
        <v>15</v>
      </c>
      <c r="B20" s="156"/>
      <c r="C20" s="148"/>
      <c r="D20" s="149"/>
      <c r="E20" s="159">
        <f>E15+E16+E17+E18</f>
        <v>1700000</v>
      </c>
      <c r="F20" s="159"/>
      <c r="G20" s="159"/>
      <c r="H20" s="159">
        <f t="shared" ref="H20:O20" si="3">H15+H16</f>
        <v>472665</v>
      </c>
      <c r="I20" s="153">
        <f>I18+I19+I17</f>
        <v>420000</v>
      </c>
      <c r="J20" s="159">
        <f t="shared" si="3"/>
        <v>166670</v>
      </c>
      <c r="K20" s="159">
        <f>K15+K16+K17+K18</f>
        <v>725995</v>
      </c>
      <c r="L20" s="159"/>
      <c r="M20" s="159">
        <f t="shared" si="3"/>
        <v>1192.42</v>
      </c>
      <c r="N20" s="159">
        <f>N17+N18+N15+N16</f>
        <v>14984.97</v>
      </c>
      <c r="O20" s="159">
        <f t="shared" si="3"/>
        <v>14929.79</v>
      </c>
      <c r="P20" s="159">
        <f>P15+P16+P17+P18</f>
        <v>1247.5999999999995</v>
      </c>
      <c r="Q20" s="159">
        <f>Q15+Q16+Q17+Q18</f>
        <v>727242.6</v>
      </c>
    </row>
    <row r="21" spans="1:17" ht="18.75">
      <c r="A21" s="266" t="s">
        <v>21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130"/>
      <c r="O21" s="130"/>
      <c r="P21" s="130"/>
      <c r="Q21" s="169"/>
    </row>
    <row r="22" spans="1:17" ht="18.75">
      <c r="A22" s="143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30"/>
      <c r="O22" s="130"/>
      <c r="P22" s="130"/>
      <c r="Q22" s="169"/>
    </row>
    <row r="23" spans="1:17" ht="20.25" thickBot="1">
      <c r="A23" s="170"/>
      <c r="B23" s="147"/>
      <c r="C23" s="148"/>
      <c r="D23" s="149"/>
      <c r="E23" s="140"/>
      <c r="F23" s="160"/>
      <c r="G23" s="151"/>
      <c r="H23" s="152"/>
      <c r="I23" s="153"/>
      <c r="J23" s="171"/>
      <c r="K23" s="163"/>
      <c r="L23" s="153"/>
      <c r="M23" s="153"/>
      <c r="N23" s="163"/>
      <c r="O23" s="163"/>
      <c r="P23" s="159"/>
      <c r="Q23" s="163"/>
    </row>
    <row r="24" spans="1:17" ht="19.5">
      <c r="A24" s="172"/>
      <c r="B24" s="147"/>
      <c r="C24" s="148"/>
      <c r="D24" s="149"/>
      <c r="E24" s="140"/>
      <c r="F24" s="160"/>
      <c r="G24" s="151"/>
      <c r="H24" s="152"/>
      <c r="I24" s="153"/>
      <c r="J24" s="171"/>
      <c r="K24" s="153"/>
      <c r="L24" s="153"/>
      <c r="M24" s="153"/>
      <c r="N24" s="163"/>
      <c r="O24" s="163"/>
      <c r="P24" s="159"/>
      <c r="Q24" s="163"/>
    </row>
    <row r="25" spans="1:17" ht="19.5">
      <c r="A25" s="146"/>
      <c r="B25" s="147"/>
      <c r="C25" s="148"/>
      <c r="D25" s="149"/>
      <c r="E25" s="140"/>
      <c r="F25" s="160"/>
      <c r="G25" s="151"/>
      <c r="H25" s="152"/>
      <c r="I25" s="153"/>
      <c r="J25" s="171"/>
      <c r="K25" s="153"/>
      <c r="L25" s="163"/>
      <c r="M25" s="153"/>
      <c r="N25" s="163"/>
      <c r="O25" s="163"/>
      <c r="P25" s="159"/>
      <c r="Q25" s="163"/>
    </row>
    <row r="26" spans="1:17" ht="19.5">
      <c r="A26" s="173" t="s">
        <v>15</v>
      </c>
      <c r="B26" s="156"/>
      <c r="C26" s="148"/>
      <c r="D26" s="149"/>
      <c r="E26" s="140">
        <f>E23+E24+E25</f>
        <v>0</v>
      </c>
      <c r="F26" s="150"/>
      <c r="G26" s="151"/>
      <c r="H26" s="153">
        <f>H23+H24+H25</f>
        <v>0</v>
      </c>
      <c r="I26" s="153">
        <f t="shared" ref="I26:N26" si="4">I23+I24+I25</f>
        <v>0</v>
      </c>
      <c r="J26" s="153">
        <f t="shared" si="4"/>
        <v>0</v>
      </c>
      <c r="K26" s="153">
        <f t="shared" si="4"/>
        <v>0</v>
      </c>
      <c r="L26" s="153"/>
      <c r="M26" s="153">
        <f t="shared" si="4"/>
        <v>0</v>
      </c>
      <c r="N26" s="163">
        <f t="shared" si="4"/>
        <v>0</v>
      </c>
      <c r="O26" s="163">
        <f>O23+O24+O25</f>
        <v>0</v>
      </c>
      <c r="P26" s="153">
        <f>P23+P24+P25</f>
        <v>0</v>
      </c>
      <c r="Q26" s="153">
        <f>Q23+Q24+Q25</f>
        <v>0</v>
      </c>
    </row>
    <row r="27" spans="1:17" ht="18.75">
      <c r="A27" s="266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130"/>
      <c r="O27" s="130"/>
      <c r="P27" s="130"/>
      <c r="Q27" s="169"/>
    </row>
    <row r="28" spans="1:17" ht="19.5">
      <c r="A28" s="146"/>
      <c r="B28" s="147"/>
      <c r="C28" s="148"/>
      <c r="D28" s="149"/>
      <c r="E28" s="140"/>
      <c r="F28" s="150"/>
      <c r="G28" s="151"/>
      <c r="H28" s="152"/>
      <c r="I28" s="153"/>
      <c r="J28" s="154"/>
      <c r="K28" s="153"/>
      <c r="L28" s="153"/>
      <c r="M28" s="153"/>
      <c r="N28" s="153"/>
      <c r="O28" s="153"/>
      <c r="P28" s="153"/>
      <c r="Q28" s="153"/>
    </row>
    <row r="29" spans="1:17" ht="19.5">
      <c r="A29" s="155" t="s">
        <v>15</v>
      </c>
      <c r="B29" s="156"/>
      <c r="C29" s="148">
        <v>0</v>
      </c>
      <c r="D29" s="149"/>
      <c r="E29" s="140"/>
      <c r="F29" s="150"/>
      <c r="G29" s="151"/>
      <c r="H29" s="152"/>
      <c r="I29" s="153"/>
      <c r="J29" s="154"/>
      <c r="K29" s="153"/>
      <c r="L29" s="153"/>
      <c r="M29" s="153"/>
      <c r="N29" s="153"/>
      <c r="O29" s="153"/>
      <c r="P29" s="153"/>
      <c r="Q29" s="153"/>
    </row>
    <row r="30" spans="1:17" ht="18.75">
      <c r="A30" s="269" t="s">
        <v>17</v>
      </c>
      <c r="B30" s="270"/>
      <c r="C30" s="271"/>
      <c r="D30" s="271"/>
      <c r="E30" s="271"/>
      <c r="F30" s="272"/>
      <c r="G30" s="174"/>
      <c r="H30" s="175">
        <f>H20+H26</f>
        <v>472665</v>
      </c>
      <c r="I30" s="175">
        <f>I20+I26</f>
        <v>420000</v>
      </c>
      <c r="J30" s="176">
        <f>J20+J26</f>
        <v>166670</v>
      </c>
      <c r="K30" s="176">
        <f>K20+K26</f>
        <v>725995</v>
      </c>
      <c r="L30" s="58"/>
      <c r="M30" s="176">
        <f>M20+M26</f>
        <v>1192.42</v>
      </c>
      <c r="N30" s="176">
        <f>N20+N26</f>
        <v>14984.97</v>
      </c>
      <c r="O30" s="176">
        <f>O20+O26</f>
        <v>14929.79</v>
      </c>
      <c r="P30" s="176">
        <f>P20+P26</f>
        <v>1247.5999999999995</v>
      </c>
      <c r="Q30" s="176">
        <f>Q20+Q26</f>
        <v>727242.6</v>
      </c>
    </row>
    <row r="31" spans="1:17" ht="18.75">
      <c r="A31" s="177"/>
      <c r="B31" s="178"/>
      <c r="C31" s="179"/>
      <c r="D31" s="179"/>
      <c r="E31" s="180"/>
      <c r="F31" s="181"/>
      <c r="G31" s="181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82"/>
      <c r="O32" s="130"/>
      <c r="P32" s="130"/>
      <c r="Q32" s="130"/>
    </row>
    <row r="33" spans="1:17" ht="18.75">
      <c r="A33" s="130"/>
      <c r="B33" s="262" t="s">
        <v>61</v>
      </c>
      <c r="C33" s="273"/>
      <c r="D33" s="273"/>
      <c r="E33" s="274"/>
      <c r="F33" s="275"/>
      <c r="G33" s="275"/>
      <c r="H33" s="276"/>
      <c r="I33" s="263"/>
      <c r="J33" s="263"/>
      <c r="K33" s="263"/>
      <c r="L33" s="130"/>
      <c r="M33" s="130"/>
      <c r="N33" s="130"/>
      <c r="O33" s="130"/>
      <c r="P33" s="130"/>
      <c r="Q33" s="130"/>
    </row>
    <row r="34" spans="1:17" ht="18.75">
      <c r="A34" s="130"/>
      <c r="B34" s="135"/>
      <c r="C34" s="133"/>
      <c r="D34" s="133"/>
      <c r="E34" s="136"/>
      <c r="F34" s="137"/>
      <c r="G34" s="137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17" ht="18.75">
      <c r="A35" s="130"/>
      <c r="B35" s="135"/>
      <c r="C35" s="133"/>
      <c r="D35" s="133"/>
      <c r="E35" s="136"/>
      <c r="F35" s="137"/>
      <c r="G35" s="137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1:17" ht="18.75">
      <c r="A36" s="130"/>
      <c r="B36" s="262" t="s">
        <v>73</v>
      </c>
      <c r="C36" s="263"/>
      <c r="D36" s="263"/>
      <c r="E36" s="263"/>
      <c r="F36" s="263"/>
      <c r="G36" s="263"/>
      <c r="H36" s="263"/>
      <c r="I36" s="263"/>
      <c r="J36" s="263"/>
      <c r="K36" s="263"/>
      <c r="L36" s="130"/>
      <c r="M36" s="130"/>
      <c r="N36" s="130"/>
      <c r="O36" s="130"/>
      <c r="P36" s="130"/>
      <c r="Q36" s="130"/>
    </row>
    <row r="38" spans="1:17">
      <c r="B38" t="s">
        <v>59</v>
      </c>
      <c r="J38" t="s">
        <v>60</v>
      </c>
    </row>
  </sheetData>
  <mergeCells count="11">
    <mergeCell ref="A1:Q1"/>
    <mergeCell ref="D2:K2"/>
    <mergeCell ref="N3:O3"/>
    <mergeCell ref="F5:J5"/>
    <mergeCell ref="A10:M10"/>
    <mergeCell ref="B36:K36"/>
    <mergeCell ref="A13:M13"/>
    <mergeCell ref="A21:M21"/>
    <mergeCell ref="A27:M27"/>
    <mergeCell ref="A30:F30"/>
    <mergeCell ref="B33:K33"/>
  </mergeCells>
  <pageMargins left="0.39" right="0.27" top="0.31496062992125984" bottom="0.31496062992125984" header="0.31496062992125984" footer="0.31496062992125984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L22" sqref="L22"/>
    </sheetView>
  </sheetViews>
  <sheetFormatPr defaultRowHeight="12.75"/>
  <cols>
    <col min="5" max="5" width="15.5703125" customWidth="1"/>
    <col min="6" max="6" width="13.7109375" customWidth="1"/>
    <col min="8" max="8" width="11.85546875" customWidth="1"/>
    <col min="9" max="9" width="14" customWidth="1"/>
    <col min="10" max="10" width="12" customWidth="1"/>
    <col min="11" max="11" width="12.5703125" customWidth="1"/>
    <col min="14" max="14" width="12.140625" customWidth="1"/>
    <col min="16" max="17" width="11.28515625" customWidth="1"/>
  </cols>
  <sheetData>
    <row r="1" spans="1:17" ht="18">
      <c r="A1" s="236" t="s">
        <v>103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96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/>
      <c r="B16" s="29" t="s">
        <v>24</v>
      </c>
      <c r="C16" s="30" t="s">
        <v>104</v>
      </c>
      <c r="D16" s="31" t="s">
        <v>32</v>
      </c>
      <c r="E16" s="47">
        <v>240000</v>
      </c>
      <c r="F16" s="48">
        <v>43758</v>
      </c>
      <c r="G16" s="65" t="s">
        <v>43</v>
      </c>
      <c r="H16" s="36"/>
      <c r="I16" s="36">
        <v>240000</v>
      </c>
      <c r="J16" s="36">
        <v>240000</v>
      </c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240000</v>
      </c>
      <c r="F18" s="47"/>
      <c r="G18" s="47"/>
      <c r="H18" s="47">
        <f t="shared" ref="H18:Q18" si="0">H16+H17</f>
        <v>0</v>
      </c>
      <c r="I18" s="47">
        <f t="shared" si="0"/>
        <v>240000</v>
      </c>
      <c r="J18" s="47">
        <f t="shared" si="0"/>
        <v>240000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240000</v>
      </c>
      <c r="J28" s="56">
        <f>J18+J24</f>
        <v>240000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55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73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54</v>
      </c>
      <c r="D36" s="209"/>
      <c r="E36" s="10"/>
      <c r="F36" s="13"/>
      <c r="G36" s="13"/>
      <c r="H36" s="1"/>
      <c r="I36" s="1"/>
      <c r="J36" s="1" t="s">
        <v>56</v>
      </c>
      <c r="K36" s="1"/>
      <c r="L36" s="1"/>
      <c r="M36" s="1"/>
      <c r="N36" s="1"/>
      <c r="O36" s="1"/>
      <c r="P36" s="1"/>
      <c r="Q36" s="1"/>
    </row>
  </sheetData>
  <mergeCells count="11">
    <mergeCell ref="A13:M13"/>
    <mergeCell ref="A1:Q1"/>
    <mergeCell ref="D2:K2"/>
    <mergeCell ref="N3:O3"/>
    <mergeCell ref="F5:J5"/>
    <mergeCell ref="A10:M10"/>
    <mergeCell ref="B34:K34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B31" sqref="B31:K31"/>
    </sheetView>
  </sheetViews>
  <sheetFormatPr defaultRowHeight="12.75"/>
  <cols>
    <col min="1" max="4" width="9.28515625" bestFit="1" customWidth="1"/>
    <col min="5" max="5" width="11.5703125" bestFit="1" customWidth="1"/>
    <col min="6" max="6" width="14" customWidth="1"/>
    <col min="7" max="8" width="9.28515625" bestFit="1" customWidth="1"/>
    <col min="9" max="9" width="14" customWidth="1"/>
    <col min="10" max="10" width="11.42578125" customWidth="1"/>
    <col min="11" max="17" width="9.28515625" bestFit="1" customWidth="1"/>
  </cols>
  <sheetData>
    <row r="1" spans="1:17" ht="18">
      <c r="A1" s="236" t="s">
        <v>105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96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/>
      <c r="B16" s="29" t="s">
        <v>24</v>
      </c>
      <c r="C16" s="30" t="s">
        <v>106</v>
      </c>
      <c r="D16" s="31" t="s">
        <v>32</v>
      </c>
      <c r="E16" s="47">
        <v>150000</v>
      </c>
      <c r="F16" s="48">
        <v>43733</v>
      </c>
      <c r="G16" s="65" t="s">
        <v>43</v>
      </c>
      <c r="H16" s="36"/>
      <c r="I16" s="36">
        <v>150000</v>
      </c>
      <c r="J16" s="36">
        <v>150000</v>
      </c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150000</v>
      </c>
      <c r="F18" s="47"/>
      <c r="G18" s="47"/>
      <c r="H18" s="47">
        <f t="shared" ref="H18:Q18" si="0">H16+H17</f>
        <v>0</v>
      </c>
      <c r="I18" s="47">
        <f t="shared" si="0"/>
        <v>150000</v>
      </c>
      <c r="J18" s="47">
        <f t="shared" si="0"/>
        <v>150000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150000</v>
      </c>
      <c r="J28" s="56">
        <f>J18+J24</f>
        <v>150000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55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73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54</v>
      </c>
      <c r="D36" s="209"/>
      <c r="E36" s="10"/>
      <c r="F36" s="13"/>
      <c r="G36" s="13"/>
      <c r="H36" s="1"/>
      <c r="I36" s="1"/>
      <c r="J36" s="1" t="s">
        <v>56</v>
      </c>
      <c r="K36" s="1"/>
      <c r="L36" s="1"/>
      <c r="M36" s="1"/>
      <c r="N36" s="1"/>
      <c r="O36" s="1"/>
      <c r="P36" s="1"/>
      <c r="Q36" s="1"/>
    </row>
  </sheetData>
  <mergeCells count="11">
    <mergeCell ref="A13:M13"/>
    <mergeCell ref="A1:Q1"/>
    <mergeCell ref="D2:K2"/>
    <mergeCell ref="N3:O3"/>
    <mergeCell ref="F5:J5"/>
    <mergeCell ref="A10:M10"/>
    <mergeCell ref="A19:M19"/>
    <mergeCell ref="A25:M25"/>
    <mergeCell ref="A28:F28"/>
    <mergeCell ref="B31:K31"/>
    <mergeCell ref="B34:K34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9"/>
  <sheetViews>
    <sheetView tabSelected="1" view="pageBreakPreview" zoomScale="60" zoomScaleNormal="100" workbookViewId="0">
      <selection activeCell="N19" sqref="N19"/>
    </sheetView>
  </sheetViews>
  <sheetFormatPr defaultRowHeight="12.75"/>
  <cols>
    <col min="1" max="1" width="32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20.140625" customWidth="1"/>
    <col min="15" max="15" width="14" customWidth="1"/>
    <col min="16" max="16" width="13.85546875" customWidth="1"/>
    <col min="17" max="17" width="16.85546875" customWidth="1"/>
  </cols>
  <sheetData>
    <row r="1" spans="1:17" ht="20.25">
      <c r="A1" s="254" t="s">
        <v>69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6"/>
      <c r="P1" s="256"/>
      <c r="Q1" s="256"/>
    </row>
    <row r="2" spans="1:17" ht="20.25">
      <c r="A2" s="74"/>
      <c r="B2" s="75"/>
      <c r="C2" s="75"/>
      <c r="D2" s="283" t="s">
        <v>91</v>
      </c>
      <c r="E2" s="284"/>
      <c r="F2" s="284"/>
      <c r="G2" s="284"/>
      <c r="H2" s="284"/>
      <c r="I2" s="284"/>
      <c r="J2" s="284"/>
      <c r="K2" s="284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59" t="s">
        <v>22</v>
      </c>
      <c r="O3" s="259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60"/>
      <c r="G5" s="260"/>
      <c r="H5" s="260"/>
      <c r="I5" s="260"/>
      <c r="J5" s="260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3" t="s">
        <v>19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41" t="s">
        <v>20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/>
      <c r="B16" s="91" t="s">
        <v>24</v>
      </c>
      <c r="C16" s="92" t="s">
        <v>62</v>
      </c>
      <c r="D16" s="93" t="s">
        <v>32</v>
      </c>
      <c r="E16" s="103">
        <v>500000</v>
      </c>
      <c r="F16" s="104">
        <v>42819</v>
      </c>
      <c r="G16" s="108" t="s">
        <v>43</v>
      </c>
      <c r="H16" s="97">
        <f>Лист2!H21+Лист3!H30+Лист4!H28+Лист5!H28+Лист6!H30</f>
        <v>4122665</v>
      </c>
      <c r="I16" s="97">
        <f>Лист2!I21+Лист3!I30+Лист4!I28+Лист5!I28+Лист6!I30+Лист7!E16+Лист8!E16</f>
        <v>5541000</v>
      </c>
      <c r="J16" s="97">
        <f>Лист2!J21+Лист3!J30+Лист4!J28+Лист5!J28+Лист6!J30+Лист7!J16+Лист8!J16</f>
        <v>1913170</v>
      </c>
      <c r="K16" s="97">
        <f>Лист2!K21+Лист3!K30+Лист4!K28+Лист5!K28+Лист6!K30+Лист7!K16+Лист8!K16</f>
        <v>7750495</v>
      </c>
      <c r="L16" s="97">
        <f>Лист2!L21+Лист3!L30+Лист4!L28+Лист5!L28+Лист6!L30</f>
        <v>0</v>
      </c>
      <c r="M16" s="107">
        <f>Лист2!M21+Лист3!M30+Лист4!M28+Лист5!M28+Лист6!M30+Лист7!M16+Лист8!M16</f>
        <v>7768.18</v>
      </c>
      <c r="N16" s="107">
        <f>Лист2!N21+Лист3!N30+Лист4!N28+Лист5!N28+Лист6!N30</f>
        <v>148932.50999999998</v>
      </c>
      <c r="O16" s="107">
        <f>Лист2!O21+Лист3!O30+Лист4!O28+Лист5!O28+Лист6!O30</f>
        <v>72784.260000000009</v>
      </c>
      <c r="P16" s="107">
        <f>M16+N16-O16</f>
        <v>83916.429999999964</v>
      </c>
      <c r="Q16" s="107">
        <f>K16+P16</f>
        <v>7834411.4299999997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4122665</v>
      </c>
      <c r="I19" s="103">
        <f t="shared" si="0"/>
        <v>5541000</v>
      </c>
      <c r="J19" s="103">
        <f t="shared" si="0"/>
        <v>1913170</v>
      </c>
      <c r="K19" s="103">
        <f t="shared" si="0"/>
        <v>7750495</v>
      </c>
      <c r="L19" s="103">
        <f t="shared" si="0"/>
        <v>0</v>
      </c>
      <c r="M19" s="103">
        <f t="shared" si="0"/>
        <v>7768.18</v>
      </c>
      <c r="N19" s="103">
        <f t="shared" si="0"/>
        <v>148932.50999999998</v>
      </c>
      <c r="O19" s="103">
        <f t="shared" si="0"/>
        <v>72784.260000000009</v>
      </c>
      <c r="P19" s="103">
        <f t="shared" si="0"/>
        <v>83916.429999999964</v>
      </c>
      <c r="Q19" s="103">
        <f t="shared" si="0"/>
        <v>7834411.4299999997</v>
      </c>
    </row>
    <row r="20" spans="1:17" ht="20.25">
      <c r="A20" s="243" t="s">
        <v>21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43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24" t="s">
        <v>17</v>
      </c>
      <c r="B29" s="225"/>
      <c r="C29" s="226"/>
      <c r="D29" s="226"/>
      <c r="E29" s="226"/>
      <c r="F29" s="227"/>
      <c r="G29" s="23"/>
      <c r="H29" s="57">
        <f>H19+H25</f>
        <v>4122665</v>
      </c>
      <c r="I29" s="57">
        <f>I19+I25</f>
        <v>5541000</v>
      </c>
      <c r="J29" s="56">
        <f>J19+J25</f>
        <v>1913170</v>
      </c>
      <c r="K29" s="56">
        <f>K19+K25</f>
        <v>7750495</v>
      </c>
      <c r="L29" s="58"/>
      <c r="M29" s="56">
        <f>M19+M25</f>
        <v>7768.18</v>
      </c>
      <c r="N29" s="56">
        <f>N19+N25</f>
        <v>148932.50999999998</v>
      </c>
      <c r="O29" s="56">
        <f>O19+O25</f>
        <v>72784.260000000009</v>
      </c>
      <c r="P29" s="56">
        <f>P19+P25</f>
        <v>83916.429999999964</v>
      </c>
      <c r="Q29" s="56">
        <f>Q19+Q25</f>
        <v>7834411.4299999997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54" right="0.70866141732283472" top="0.33" bottom="0.3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2016-11-02T12:34:37Z</cp:lastPrinted>
  <dcterms:created xsi:type="dcterms:W3CDTF">2006-06-05T06:40:26Z</dcterms:created>
  <dcterms:modified xsi:type="dcterms:W3CDTF">2016-11-02T12:44:38Z</dcterms:modified>
</cp:coreProperties>
</file>