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Лист6!$A$1:$Q$43</definedName>
  </definedNames>
  <calcPr calcId="125725"/>
</workbook>
</file>

<file path=xl/calcChain.xml><?xml version="1.0" encoding="utf-8"?>
<calcChain xmlns="http://schemas.openxmlformats.org/spreadsheetml/2006/main">
  <c r="N30" i="1"/>
  <c r="N29"/>
  <c r="N23"/>
  <c r="P31" l="1"/>
  <c r="P32"/>
  <c r="P33"/>
  <c r="O23"/>
  <c r="N34"/>
  <c r="N28"/>
  <c r="N27"/>
  <c r="N26"/>
  <c r="N15" i="4"/>
  <c r="O19" i="2"/>
  <c r="P19"/>
  <c r="N19"/>
  <c r="N16" i="6"/>
  <c r="N15"/>
  <c r="N15" i="5"/>
  <c r="N16" i="3"/>
  <c r="N17" i="2"/>
  <c r="N16"/>
  <c r="O15" i="4" l="1"/>
  <c r="J15" i="5"/>
  <c r="J16" i="6"/>
  <c r="J15"/>
  <c r="J16" i="3"/>
  <c r="M29" i="7"/>
  <c r="I19" i="2"/>
  <c r="K18"/>
  <c r="P17" i="3"/>
  <c r="Q17"/>
  <c r="K17"/>
  <c r="H20"/>
  <c r="E20"/>
  <c r="P18" i="2"/>
  <c r="K19"/>
  <c r="J16"/>
  <c r="Q18" l="1"/>
  <c r="O42" i="1"/>
  <c r="O43" s="1"/>
  <c r="N42"/>
  <c r="N43" s="1"/>
  <c r="O41" l="1"/>
  <c r="O40"/>
  <c r="N41"/>
  <c r="N40"/>
  <c r="O28"/>
  <c r="O27"/>
  <c r="O26"/>
  <c r="E34"/>
  <c r="H34"/>
  <c r="I34"/>
  <c r="J34"/>
  <c r="K33"/>
  <c r="Q33" s="1"/>
  <c r="K32"/>
  <c r="Q32" s="1"/>
  <c r="O16" i="6" l="1"/>
  <c r="O15"/>
  <c r="O15" i="5"/>
  <c r="O16" i="3"/>
  <c r="Q31" i="1"/>
  <c r="K31"/>
  <c r="P42"/>
  <c r="K42"/>
  <c r="I43"/>
  <c r="P29"/>
  <c r="P30"/>
  <c r="N24"/>
  <c r="Q42" l="1"/>
  <c r="J15" i="4" l="1"/>
  <c r="J26" i="1"/>
  <c r="J23"/>
  <c r="Q29" l="1"/>
  <c r="K29"/>
  <c r="K30"/>
  <c r="Q30" l="1"/>
  <c r="J40"/>
  <c r="O25" l="1"/>
  <c r="P41" l="1"/>
  <c r="N25"/>
  <c r="K41"/>
  <c r="E43"/>
  <c r="J25"/>
  <c r="J24"/>
  <c r="Q41" l="1"/>
  <c r="P28"/>
  <c r="M34" l="1"/>
  <c r="K28"/>
  <c r="Q28" l="1"/>
  <c r="O24" l="1"/>
  <c r="O21"/>
  <c r="O34" l="1"/>
  <c r="N21"/>
  <c r="O39"/>
  <c r="N39"/>
  <c r="J39"/>
  <c r="J43" s="1"/>
  <c r="J21"/>
  <c r="L16" i="7" l="1"/>
  <c r="L19" s="1"/>
  <c r="M16"/>
  <c r="M19" s="1"/>
  <c r="Q25"/>
  <c r="P25"/>
  <c r="O25"/>
  <c r="N25"/>
  <c r="M25"/>
  <c r="K25"/>
  <c r="J25"/>
  <c r="I25"/>
  <c r="H25"/>
  <c r="E25"/>
  <c r="E19"/>
  <c r="K18"/>
  <c r="K21" i="1" l="1"/>
  <c r="K22"/>
  <c r="H18" i="6"/>
  <c r="J18"/>
  <c r="M18"/>
  <c r="N18"/>
  <c r="O18"/>
  <c r="E18"/>
  <c r="M28" i="4" l="1"/>
  <c r="H18"/>
  <c r="I18"/>
  <c r="J18"/>
  <c r="M18"/>
  <c r="N18"/>
  <c r="O18"/>
  <c r="E18"/>
  <c r="H19" i="2"/>
  <c r="J19"/>
  <c r="M19"/>
  <c r="E19"/>
  <c r="H43" i="1"/>
  <c r="P40" l="1"/>
  <c r="P27"/>
  <c r="K27" l="1"/>
  <c r="Q27" l="1"/>
  <c r="K34"/>
  <c r="K40"/>
  <c r="Q40" l="1"/>
  <c r="K16" i="6" l="1"/>
  <c r="P16" i="2" l="1"/>
  <c r="L16" l="1"/>
  <c r="L17"/>
  <c r="P16" i="3"/>
  <c r="K15" i="6" l="1"/>
  <c r="K18" s="1"/>
  <c r="J18" i="5" l="1"/>
  <c r="L18"/>
  <c r="M18"/>
  <c r="M28" s="1"/>
  <c r="N18"/>
  <c r="O18"/>
  <c r="E18"/>
  <c r="J20" i="3"/>
  <c r="L20"/>
  <c r="M20"/>
  <c r="N20"/>
  <c r="O20"/>
  <c r="K17" i="2"/>
  <c r="M47" i="1"/>
  <c r="P16" i="6" l="1"/>
  <c r="P15" i="5"/>
  <c r="P18" s="1"/>
  <c r="K15"/>
  <c r="P15" i="4"/>
  <c r="P18" s="1"/>
  <c r="K15"/>
  <c r="K18" s="1"/>
  <c r="K16" i="3"/>
  <c r="K20" s="1"/>
  <c r="P17" i="2"/>
  <c r="Q16" i="6" l="1"/>
  <c r="Q15" i="5"/>
  <c r="Q18" s="1"/>
  <c r="Q15" i="4"/>
  <c r="Q18" s="1"/>
  <c r="Q16" i="3"/>
  <c r="Q20" s="1"/>
  <c r="P20"/>
  <c r="P26" i="1"/>
  <c r="K26"/>
  <c r="Q26" l="1"/>
  <c r="P39" l="1"/>
  <c r="P43" s="1"/>
  <c r="K39" l="1"/>
  <c r="K43" s="1"/>
  <c r="Q39" l="1"/>
  <c r="Q43" s="1"/>
  <c r="P25"/>
  <c r="P15" i="6"/>
  <c r="Q15" l="1"/>
  <c r="Q18" s="1"/>
  <c r="P18"/>
  <c r="K25" i="1"/>
  <c r="Q25" s="1"/>
  <c r="P24" l="1"/>
  <c r="I47"/>
  <c r="K24"/>
  <c r="O29" i="2"/>
  <c r="K17" i="6"/>
  <c r="E24"/>
  <c r="H24"/>
  <c r="I24"/>
  <c r="J24"/>
  <c r="K24"/>
  <c r="M24"/>
  <c r="M28" s="1"/>
  <c r="N24"/>
  <c r="O24"/>
  <c r="P24"/>
  <c r="Q24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H16" i="7" s="1"/>
  <c r="H19" s="1"/>
  <c r="H29" s="1"/>
  <c r="I26" i="3"/>
  <c r="I30" s="1"/>
  <c r="I16" i="7" s="1"/>
  <c r="I19" s="1"/>
  <c r="I29" s="1"/>
  <c r="J26" i="3"/>
  <c r="J30" s="1"/>
  <c r="K26"/>
  <c r="M26"/>
  <c r="N26"/>
  <c r="O26"/>
  <c r="P26"/>
  <c r="Q26"/>
  <c r="K16" i="2"/>
  <c r="Q17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P20"/>
  <c r="K23"/>
  <c r="K37"/>
  <c r="P37"/>
  <c r="N28" i="5"/>
  <c r="N28" i="4"/>
  <c r="N29" i="2"/>
  <c r="O28" i="5"/>
  <c r="K47" i="1" l="1"/>
  <c r="I28" i="6"/>
  <c r="J28" i="4"/>
  <c r="O28"/>
  <c r="P28" s="1"/>
  <c r="O28" i="6"/>
  <c r="P28"/>
  <c r="H28" i="4"/>
  <c r="I28"/>
  <c r="K28"/>
  <c r="N28" i="6"/>
  <c r="K28"/>
  <c r="I28" i="5"/>
  <c r="N30" i="3"/>
  <c r="N16" i="7" s="1"/>
  <c r="N19" s="1"/>
  <c r="N29" s="1"/>
  <c r="O30" i="3"/>
  <c r="K29" i="2"/>
  <c r="Q16"/>
  <c r="Q19" s="1"/>
  <c r="Q19" i="1"/>
  <c r="H47"/>
  <c r="Q20"/>
  <c r="Q16"/>
  <c r="Q37"/>
  <c r="K28" i="5"/>
  <c r="H28" i="6"/>
  <c r="J28"/>
  <c r="P29" i="2"/>
  <c r="Q24" i="1"/>
  <c r="P28" i="5"/>
  <c r="J28"/>
  <c r="P23" i="1"/>
  <c r="P34" s="1"/>
  <c r="P22"/>
  <c r="Q22" s="1"/>
  <c r="O47"/>
  <c r="P21"/>
  <c r="J47"/>
  <c r="P30" i="3"/>
  <c r="Q30"/>
  <c r="Q23" i="1" l="1"/>
  <c r="J16" i="7"/>
  <c r="J19" s="1"/>
  <c r="J29" s="1"/>
  <c r="K16"/>
  <c r="K19" s="1"/>
  <c r="K29" s="1"/>
  <c r="O16"/>
  <c r="O19" s="1"/>
  <c r="O29" s="1"/>
  <c r="Q21" i="1"/>
  <c r="Q28" i="4"/>
  <c r="Q29" i="2"/>
  <c r="Q28" i="6"/>
  <c r="Q28" i="5"/>
  <c r="N47" i="1"/>
  <c r="P16" i="7" l="1"/>
  <c r="P19" s="1"/>
  <c r="P29" s="1"/>
  <c r="P47" i="1"/>
  <c r="Q34"/>
  <c r="Q47" s="1"/>
  <c r="Q16" i="7" l="1"/>
  <c r="Q19" s="1"/>
  <c r="Q29" s="1"/>
</calcChain>
</file>

<file path=xl/sharedStrings.xml><?xml version="1.0" encoding="utf-8"?>
<sst xmlns="http://schemas.openxmlformats.org/spreadsheetml/2006/main" count="317" uniqueCount="92">
  <si>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</si>
  <si>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</si>
  <si>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</si>
  <si>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</si>
  <si>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</si>
  <si>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</si>
  <si>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</si>
  <si>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</si>
  <si>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</si>
  <si>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</si>
  <si>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</si>
  <si>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</si>
  <si>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</si>
  <si>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</si>
  <si>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</si>
  <si>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</si>
  <si>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</si>
  <si>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</si>
  <si>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</si>
  <si>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</si>
  <si>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</si>
  <si>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</si>
  <si>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</si>
  <si>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</si>
  <si>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</si>
  <si>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</si>
  <si>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</si>
  <si>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</si>
  <si>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</si>
  <si>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</si>
  <si>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</si>
  <si>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</si>
  <si>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</si>
  <si>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</si>
  <si>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</si>
  <si>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</si>
  <si>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</si>
  <si>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</si>
  <si>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</si>
  <si>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</si>
  <si>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</si>
  <si>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</si>
  <si>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</si>
  <si>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</si>
  <si>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</si>
  <si>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</si>
  <si>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ОАО "СМП Банк"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</si>
  <si>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</si>
  <si>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</si>
  <si>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</si>
  <si>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</si>
  <si>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</si>
  <si>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</si>
  <si>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</si>
  <si>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</si>
  <si>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</si>
  <si>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</si>
  <si>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</si>
  <si>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</si>
  <si>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</si>
  <si>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</si>
  <si>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</si>
  <si>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</si>
  <si>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№5-АПМР от 25.12.2013</t>
  </si>
  <si>
    <t>Договор № 6-АПМР от 25.12.2013</t>
  </si>
  <si>
    <t>Договор №4-АПМР от 25.12.2013</t>
  </si>
  <si>
    <t>Договор № 8-АПМР от 25.12.2013</t>
  </si>
  <si>
    <t>Договор №2-АПМР от 19.04.2013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</si>
  <si>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</si>
  <si>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</si>
  <si>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</si>
  <si>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</si>
  <si>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</si>
  <si>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</si>
  <si>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</si>
  <si>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</si>
  <si>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</si>
  <si>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</si>
  <si>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</si>
  <si>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</si>
  <si>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</si>
  <si>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Договор  N13-01/14 от  25.12.2014</t>
  </si>
  <si>
    <t>Кредитный договор N 039-0352-К-2015 от 07.12.2015.</t>
  </si>
  <si>
    <t>Договор  N13-4/15 от  15.12.2015</t>
  </si>
  <si>
    <t>по состоянию на 01  января   2015 года</t>
  </si>
  <si>
    <t>по состоянию на 01 января 2016 года</t>
  </si>
  <si>
    <t>по состоянию на 01  января 2016 года</t>
  </si>
  <si>
    <t>Договор № 1 от 22.12.2015</t>
  </si>
  <si>
    <t>Договор №2 от 22.12.2015</t>
  </si>
  <si>
    <t>по состоянию на 01  января  2016 года</t>
  </si>
  <si>
    <t>Договор  N13-5/15 от  25.12.2015</t>
  </si>
  <si>
    <t>Договор  N13-6/15 от  25.12.2015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</si>
</sst>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9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tabSelected="1" view="pageBreakPreview" topLeftCell="C10" zoomScaleNormal="75" workbookViewId="0">
      <selection activeCell="N31" sqref="N31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.140625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13.42578125" style="1" customWidth="1"/>
    <col min="10" max="10" width="14.5703125" style="1" customWidth="1"/>
    <col min="11" max="11" width="18.42578125" style="1" customWidth="1"/>
    <col min="12" max="12" width="10.5703125" style="1" customWidth="1"/>
    <col min="13" max="13" width="11.2851562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14" t="s">
        <v>23</v>
      </c>
      <c r="M1" s="212"/>
      <c r="N1" s="212"/>
      <c r="O1" s="212"/>
      <c r="P1" s="212"/>
      <c r="Q1" s="212"/>
    </row>
    <row r="2" spans="1:17" ht="26.25" hidden="1" customHeight="1">
      <c r="L2" s="212"/>
      <c r="M2" s="212"/>
      <c r="N2" s="212"/>
      <c r="O2" s="212"/>
      <c r="P2" s="212"/>
      <c r="Q2" s="212"/>
    </row>
    <row r="3" spans="1:17" ht="21" customHeight="1">
      <c r="A3" s="229" t="s">
        <v>25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1"/>
      <c r="P3" s="231"/>
      <c r="Q3" s="231"/>
    </row>
    <row r="4" spans="1:17" ht="16.5" customHeight="1">
      <c r="B4" s="2"/>
      <c r="C4" s="2"/>
      <c r="D4" s="223" t="s">
        <v>86</v>
      </c>
      <c r="E4" s="224"/>
      <c r="F4" s="224"/>
      <c r="G4" s="224"/>
      <c r="H4" s="224"/>
      <c r="I4" s="224"/>
      <c r="J4" s="224"/>
      <c r="K4" s="224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1" t="s">
        <v>22</v>
      </c>
      <c r="O5" s="221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25"/>
      <c r="G7" s="225"/>
      <c r="H7" s="225"/>
      <c r="I7" s="225"/>
      <c r="J7" s="225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15" t="s">
        <v>19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7.25" customHeight="1">
      <c r="A15" s="226" t="s">
        <v>20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33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33" si="1">H20+I20-J20</f>
        <v>0</v>
      </c>
      <c r="L20" s="52"/>
      <c r="M20" s="50"/>
      <c r="N20" s="50"/>
      <c r="O20" s="50"/>
      <c r="P20" s="50">
        <f t="shared" ref="P20:P33" si="2">N20-O20+M20</f>
        <v>0</v>
      </c>
      <c r="Q20" s="50">
        <f t="shared" si="0"/>
        <v>0</v>
      </c>
    </row>
    <row r="21" spans="1:17" s="3" customFormat="1" ht="45.75" customHeight="1">
      <c r="A21" s="61"/>
      <c r="B21" s="62" t="s">
        <v>24</v>
      </c>
      <c r="C21" s="30" t="s">
        <v>38</v>
      </c>
      <c r="D21" s="31" t="s">
        <v>26</v>
      </c>
      <c r="E21" s="47">
        <v>7000000</v>
      </c>
      <c r="F21" s="48">
        <v>42148</v>
      </c>
      <c r="G21" s="51"/>
      <c r="H21" s="36">
        <v>1064000</v>
      </c>
      <c r="I21" s="36"/>
      <c r="J21" s="50">
        <f>212000+212000+212000+212000+216000</f>
        <v>1064000</v>
      </c>
      <c r="K21" s="36">
        <f t="shared" si="1"/>
        <v>0</v>
      </c>
      <c r="L21" s="183">
        <v>2.75</v>
      </c>
      <c r="M21" s="50">
        <v>2548.9899999999998</v>
      </c>
      <c r="N21" s="50">
        <f>2277.45+1493.89+11.43+1747.96+113.92</f>
        <v>5644.65</v>
      </c>
      <c r="O21" s="50">
        <f>2548.99+2277.45+1493.89+11.43+1747.96+113.92</f>
        <v>8193.64</v>
      </c>
      <c r="P21" s="50">
        <f t="shared" si="2"/>
        <v>0</v>
      </c>
      <c r="Q21" s="50">
        <f t="shared" si="0"/>
        <v>0</v>
      </c>
    </row>
    <row r="22" spans="1:17" s="3" customFormat="1" ht="36.75" customHeight="1">
      <c r="A22" s="61"/>
      <c r="B22" s="62" t="s">
        <v>24</v>
      </c>
      <c r="C22" s="30" t="s">
        <v>39</v>
      </c>
      <c r="D22" s="31" t="s">
        <v>26</v>
      </c>
      <c r="E22" s="47">
        <v>4000000</v>
      </c>
      <c r="F22" s="48">
        <v>41998</v>
      </c>
      <c r="G22" s="51"/>
      <c r="H22" s="36">
        <v>0</v>
      </c>
      <c r="I22" s="36"/>
      <c r="J22" s="50">
        <v>0</v>
      </c>
      <c r="K22" s="36">
        <f t="shared" si="1"/>
        <v>0</v>
      </c>
      <c r="L22" s="183">
        <v>2.75</v>
      </c>
      <c r="M22" s="50">
        <v>90.71</v>
      </c>
      <c r="N22" s="50">
        <v>0</v>
      </c>
      <c r="O22" s="50">
        <v>90.71</v>
      </c>
      <c r="P22" s="50">
        <f t="shared" si="2"/>
        <v>0</v>
      </c>
      <c r="Q22" s="50">
        <f t="shared" si="0"/>
        <v>0</v>
      </c>
    </row>
    <row r="23" spans="1:17" s="3" customFormat="1" ht="33.75" customHeight="1">
      <c r="A23" s="61"/>
      <c r="B23" s="62" t="s">
        <v>24</v>
      </c>
      <c r="C23" s="30" t="s">
        <v>42</v>
      </c>
      <c r="D23" s="31" t="s">
        <v>26</v>
      </c>
      <c r="E23" s="47">
        <v>3000000</v>
      </c>
      <c r="F23" s="48">
        <v>42333</v>
      </c>
      <c r="G23" s="51"/>
      <c r="H23" s="36">
        <v>2250000</v>
      </c>
      <c r="I23" s="36"/>
      <c r="J23" s="50">
        <f>225000+225000+225000+225000+225000+225000+225000+225000+225000+225000</f>
        <v>2250000</v>
      </c>
      <c r="K23" s="36">
        <f t="shared" si="1"/>
        <v>0</v>
      </c>
      <c r="L23" s="183">
        <v>2.75</v>
      </c>
      <c r="M23" s="50">
        <v>5255.14</v>
      </c>
      <c r="N23" s="50">
        <f>5255.14+4746.58+4882.19+4204.11+3797.27+3186.99+2763.19+2254.62+1661.31+1135.79+644.18-339.04</f>
        <v>34192.329999999994</v>
      </c>
      <c r="O23" s="50">
        <f>5255.14+5255.14+4746.58+4882.19+4204.11+3797.27+3186.99+2763.19+2254.62+1661.31+1135.79+1135.79</f>
        <v>40278.120000000003</v>
      </c>
      <c r="P23" s="50">
        <f t="shared" si="2"/>
        <v>-830.65000000000782</v>
      </c>
      <c r="Q23" s="50">
        <f t="shared" si="0"/>
        <v>-830.65000000000782</v>
      </c>
    </row>
    <row r="24" spans="1:17" s="3" customFormat="1" ht="26.25" customHeight="1">
      <c r="A24" s="61"/>
      <c r="B24" s="62" t="s">
        <v>24</v>
      </c>
      <c r="C24" s="30" t="s">
        <v>45</v>
      </c>
      <c r="D24" s="31" t="s">
        <v>26</v>
      </c>
      <c r="E24" s="47">
        <v>2000000</v>
      </c>
      <c r="F24" s="48">
        <v>42333</v>
      </c>
      <c r="G24" s="51"/>
      <c r="H24" s="36">
        <v>1000000</v>
      </c>
      <c r="I24" s="36"/>
      <c r="J24" s="36">
        <f>200000+200000+200000+200000+200000</f>
        <v>1000000</v>
      </c>
      <c r="K24" s="36">
        <f t="shared" si="1"/>
        <v>0</v>
      </c>
      <c r="L24" s="183">
        <v>2.75</v>
      </c>
      <c r="M24" s="50">
        <v>2395.89</v>
      </c>
      <c r="N24" s="50">
        <f>2139.72+1401.37+1069.86+572.61+105.48</f>
        <v>5289.0399999999991</v>
      </c>
      <c r="O24" s="50">
        <f>2395.89+2139.72+1401.37+1069.86+572.61+105.48</f>
        <v>7684.9299999999985</v>
      </c>
      <c r="P24" s="50">
        <f t="shared" si="2"/>
        <v>0</v>
      </c>
      <c r="Q24" s="50">
        <f t="shared" si="0"/>
        <v>0</v>
      </c>
    </row>
    <row r="25" spans="1:17" s="3" customFormat="1" ht="30.75" customHeight="1">
      <c r="A25" s="61"/>
      <c r="B25" s="62" t="s">
        <v>24</v>
      </c>
      <c r="C25" s="30" t="s">
        <v>47</v>
      </c>
      <c r="D25" s="31" t="s">
        <v>26</v>
      </c>
      <c r="E25" s="47">
        <v>780000</v>
      </c>
      <c r="F25" s="48">
        <v>42210</v>
      </c>
      <c r="G25" s="51"/>
      <c r="H25" s="36">
        <v>780000</v>
      </c>
      <c r="I25" s="36"/>
      <c r="J25" s="36">
        <f>260000+260000+260000</f>
        <v>780000</v>
      </c>
      <c r="K25" s="36">
        <f t="shared" si="1"/>
        <v>0</v>
      </c>
      <c r="L25" s="183">
        <v>2.75</v>
      </c>
      <c r="M25" s="50">
        <v>1821.78</v>
      </c>
      <c r="N25" s="50">
        <f>1821.78+1645.48+1821.78+1763.01+1821.78+1332.06+940.27</f>
        <v>11146.16</v>
      </c>
      <c r="O25" s="50">
        <f>1821.78+1821.78+1645.48+1821.78+1763.01+182.78+1639+1332.06+940.27</f>
        <v>12967.94</v>
      </c>
      <c r="P25" s="50">
        <f t="shared" si="2"/>
        <v>0</v>
      </c>
      <c r="Q25" s="50">
        <f t="shared" si="0"/>
        <v>0</v>
      </c>
    </row>
    <row r="26" spans="1:17" s="3" customFormat="1" ht="30.75" customHeight="1">
      <c r="A26" s="61"/>
      <c r="B26" s="62" t="s">
        <v>24</v>
      </c>
      <c r="C26" s="30" t="s">
        <v>50</v>
      </c>
      <c r="D26" s="31" t="s">
        <v>26</v>
      </c>
      <c r="E26" s="47">
        <v>5000000</v>
      </c>
      <c r="F26" s="48">
        <v>42699</v>
      </c>
      <c r="G26" s="51"/>
      <c r="H26" s="36">
        <v>5000000</v>
      </c>
      <c r="I26" s="36"/>
      <c r="J26" s="36">
        <f>250000+250000+250000+250000+250000+250000</f>
        <v>1500000</v>
      </c>
      <c r="K26" s="36">
        <f t="shared" si="1"/>
        <v>3500000</v>
      </c>
      <c r="L26" s="183">
        <v>2.75</v>
      </c>
      <c r="M26" s="50">
        <v>11678.08</v>
      </c>
      <c r="N26" s="50">
        <f>43849.32+11152.57+10264.5+113.92+10135.45+9570.38+8683.22+8327.23+7553.08+7247.94</f>
        <v>116897.61</v>
      </c>
      <c r="O26" s="50">
        <f>11678.08+11678.08+10225.86+11152.57+10792.81+11152.57+10378.42+10135.45+9570.38+8683.22+8327.23+8327.23</f>
        <v>122101.9</v>
      </c>
      <c r="P26" s="50">
        <f t="shared" si="2"/>
        <v>6473.7900000000063</v>
      </c>
      <c r="Q26" s="50">
        <f t="shared" si="0"/>
        <v>3506473.79</v>
      </c>
    </row>
    <row r="27" spans="1:17" s="3" customFormat="1" ht="30.75" customHeight="1">
      <c r="A27" s="61"/>
      <c r="B27" s="62" t="s">
        <v>24</v>
      </c>
      <c r="C27" s="30" t="s">
        <v>81</v>
      </c>
      <c r="D27" s="31" t="s">
        <v>26</v>
      </c>
      <c r="E27" s="47">
        <v>3000000</v>
      </c>
      <c r="F27" s="48">
        <v>43064</v>
      </c>
      <c r="G27" s="51"/>
      <c r="H27" s="36">
        <v>3000000</v>
      </c>
      <c r="I27" s="36"/>
      <c r="J27" s="36">
        <v>50000</v>
      </c>
      <c r="K27" s="36">
        <f t="shared" si="1"/>
        <v>2950000</v>
      </c>
      <c r="L27" s="183">
        <v>2.75</v>
      </c>
      <c r="M27" s="50">
        <v>1582.19</v>
      </c>
      <c r="N27" s="50">
        <f>7006.85+6328.77+7006.85+6780.82+7006.85+6780.82+7006.85+7006.85+6780.82+7006.85+6780.82+6690.41</f>
        <v>82183.56</v>
      </c>
      <c r="O27" s="50">
        <f>1582.19+7006.85+6328.77+7006.85+6780.82+7006.85+6780.82+7006.85+7006.85+6780.82+7006.85+7006.85</f>
        <v>77301.37000000001</v>
      </c>
      <c r="P27" s="50">
        <f t="shared" si="2"/>
        <v>6464.3799999999883</v>
      </c>
      <c r="Q27" s="50">
        <f t="shared" si="0"/>
        <v>2956464.38</v>
      </c>
    </row>
    <row r="28" spans="1:17" s="3" customFormat="1" ht="30.75" customHeight="1">
      <c r="A28" s="61"/>
      <c r="B28" s="62" t="s">
        <v>24</v>
      </c>
      <c r="C28" s="30" t="s">
        <v>72</v>
      </c>
      <c r="D28" s="31" t="s">
        <v>26</v>
      </c>
      <c r="E28" s="47">
        <v>10000000</v>
      </c>
      <c r="F28" s="48">
        <v>43271</v>
      </c>
      <c r="G28" s="51"/>
      <c r="H28" s="36"/>
      <c r="I28" s="36">
        <v>10000000</v>
      </c>
      <c r="J28" s="36"/>
      <c r="K28" s="36">
        <f t="shared" si="1"/>
        <v>10000000</v>
      </c>
      <c r="L28" s="183">
        <v>2.75</v>
      </c>
      <c r="M28" s="50"/>
      <c r="N28" s="50">
        <f>1883.56+11678.08+11678.08+23356.16+22602.74+22602.74</f>
        <v>93801.360000000015</v>
      </c>
      <c r="O28" s="50">
        <f>1883.56+11678.08+11678.08+23356.16+23356.16</f>
        <v>71952.040000000008</v>
      </c>
      <c r="P28" s="50">
        <f t="shared" si="2"/>
        <v>21849.320000000007</v>
      </c>
      <c r="Q28" s="50">
        <f t="shared" si="0"/>
        <v>10021849.32</v>
      </c>
    </row>
    <row r="29" spans="1:17" s="3" customFormat="1" ht="30.75" customHeight="1">
      <c r="A29" s="61"/>
      <c r="B29" s="62" t="s">
        <v>24</v>
      </c>
      <c r="C29" s="30" t="s">
        <v>79</v>
      </c>
      <c r="D29" s="31" t="s">
        <v>26</v>
      </c>
      <c r="E29" s="47">
        <v>7000000</v>
      </c>
      <c r="F29" s="48">
        <v>43393</v>
      </c>
      <c r="G29" s="51"/>
      <c r="H29" s="36"/>
      <c r="I29" s="36">
        <v>7000000</v>
      </c>
      <c r="J29" s="36"/>
      <c r="K29" s="36">
        <f t="shared" si="1"/>
        <v>7000000</v>
      </c>
      <c r="L29" s="183">
        <v>2.75</v>
      </c>
      <c r="M29" s="50"/>
      <c r="N29" s="50">
        <f>5801.37+16349.32+11.17</f>
        <v>22161.859999999997</v>
      </c>
      <c r="O29" s="50">
        <v>5801.37</v>
      </c>
      <c r="P29" s="50">
        <f t="shared" si="2"/>
        <v>16360.489999999998</v>
      </c>
      <c r="Q29" s="50">
        <f t="shared" si="0"/>
        <v>7016360.4900000002</v>
      </c>
    </row>
    <row r="30" spans="1:17" s="3" customFormat="1" ht="30.75" customHeight="1">
      <c r="A30" s="61"/>
      <c r="B30" s="62" t="s">
        <v>24</v>
      </c>
      <c r="C30" s="30" t="s">
        <v>80</v>
      </c>
      <c r="D30" s="31" t="s">
        <v>26</v>
      </c>
      <c r="E30" s="47">
        <v>15000000</v>
      </c>
      <c r="F30" s="48">
        <v>42367</v>
      </c>
      <c r="G30" s="51"/>
      <c r="H30" s="36"/>
      <c r="I30" s="36">
        <v>15000000</v>
      </c>
      <c r="J30" s="36">
        <v>15000000</v>
      </c>
      <c r="K30" s="36">
        <f t="shared" si="1"/>
        <v>0</v>
      </c>
      <c r="L30" s="183">
        <v>2.75</v>
      </c>
      <c r="M30" s="50"/>
      <c r="N30" s="50">
        <f>7910.96+19061.65+15.23</f>
        <v>26987.84</v>
      </c>
      <c r="O30" s="50">
        <v>7910.96</v>
      </c>
      <c r="P30" s="50">
        <f t="shared" si="2"/>
        <v>19076.88</v>
      </c>
      <c r="Q30" s="50">
        <f t="shared" si="0"/>
        <v>19076.88</v>
      </c>
    </row>
    <row r="31" spans="1:17" s="3" customFormat="1" ht="30.75" customHeight="1">
      <c r="A31" s="61"/>
      <c r="B31" s="62" t="s">
        <v>24</v>
      </c>
      <c r="C31" s="30" t="s">
        <v>83</v>
      </c>
      <c r="D31" s="31" t="s">
        <v>26</v>
      </c>
      <c r="E31" s="47">
        <v>3000000</v>
      </c>
      <c r="F31" s="48">
        <v>43449</v>
      </c>
      <c r="G31" s="51"/>
      <c r="H31" s="36"/>
      <c r="I31" s="36">
        <v>3000000</v>
      </c>
      <c r="J31" s="36"/>
      <c r="K31" s="36">
        <f t="shared" si="1"/>
        <v>3000000</v>
      </c>
      <c r="L31" s="183">
        <v>2.75</v>
      </c>
      <c r="M31" s="50"/>
      <c r="N31" s="50">
        <v>3164.38</v>
      </c>
      <c r="O31" s="50"/>
      <c r="P31" s="50">
        <f t="shared" si="2"/>
        <v>3164.38</v>
      </c>
      <c r="Q31" s="50">
        <f t="shared" si="0"/>
        <v>3003164.38</v>
      </c>
    </row>
    <row r="32" spans="1:17" s="3" customFormat="1" ht="30.75" customHeight="1">
      <c r="A32" s="61"/>
      <c r="B32" s="62"/>
      <c r="C32" s="30" t="s">
        <v>90</v>
      </c>
      <c r="D32" s="31" t="s">
        <v>26</v>
      </c>
      <c r="E32" s="47">
        <v>8900000</v>
      </c>
      <c r="F32" s="48">
        <v>43455</v>
      </c>
      <c r="G32" s="51"/>
      <c r="H32" s="36"/>
      <c r="I32" s="36">
        <v>8900000</v>
      </c>
      <c r="J32" s="36"/>
      <c r="K32" s="36">
        <f t="shared" si="1"/>
        <v>8900000</v>
      </c>
      <c r="L32" s="183">
        <v>2.75</v>
      </c>
      <c r="M32" s="50"/>
      <c r="N32" s="50">
        <v>4693.84</v>
      </c>
      <c r="O32" s="50"/>
      <c r="P32" s="50">
        <f t="shared" si="2"/>
        <v>4693.84</v>
      </c>
      <c r="Q32" s="50">
        <f t="shared" si="0"/>
        <v>8904693.8399999999</v>
      </c>
    </row>
    <row r="33" spans="1:17" s="3" customFormat="1" ht="30.75" customHeight="1">
      <c r="A33" s="61"/>
      <c r="B33" s="62"/>
      <c r="C33" s="30" t="s">
        <v>91</v>
      </c>
      <c r="D33" s="31" t="s">
        <v>26</v>
      </c>
      <c r="E33" s="47">
        <v>4000000</v>
      </c>
      <c r="F33" s="48">
        <v>42729</v>
      </c>
      <c r="G33" s="51"/>
      <c r="H33" s="36"/>
      <c r="I33" s="36">
        <v>4000000</v>
      </c>
      <c r="J33" s="36"/>
      <c r="K33" s="36">
        <f t="shared" si="1"/>
        <v>4000000</v>
      </c>
      <c r="L33" s="183">
        <v>2.75</v>
      </c>
      <c r="M33" s="50"/>
      <c r="N33" s="50">
        <v>2109.59</v>
      </c>
      <c r="O33" s="50"/>
      <c r="P33" s="50">
        <f t="shared" si="2"/>
        <v>2109.59</v>
      </c>
      <c r="Q33" s="50">
        <f t="shared" si="0"/>
        <v>4002109.59</v>
      </c>
    </row>
    <row r="34" spans="1:17" s="3" customFormat="1" ht="18.75" customHeight="1">
      <c r="A34" s="44" t="s">
        <v>15</v>
      </c>
      <c r="B34" s="45"/>
      <c r="C34" s="30"/>
      <c r="D34" s="31"/>
      <c r="E34" s="47">
        <f>E21+E22+E23+E24+E25+E26+E29+E30+E31+E32+E33</f>
        <v>59680000</v>
      </c>
      <c r="F34" s="47"/>
      <c r="G34" s="47"/>
      <c r="H34" s="47">
        <f t="shared" ref="H34:J34" si="3">H21+H22+H23+H24+H25+H26+H27+H28+H29+H30+H31+H32+H33</f>
        <v>13094000</v>
      </c>
      <c r="I34" s="47">
        <f t="shared" si="3"/>
        <v>47900000</v>
      </c>
      <c r="J34" s="47">
        <f t="shared" si="3"/>
        <v>21644000</v>
      </c>
      <c r="K34" s="47">
        <f>K21+K22+K23+K24+K25+K26+K27+K28+K29+K30+K31+K32+K33</f>
        <v>39350000</v>
      </c>
      <c r="L34" s="47"/>
      <c r="M34" s="47">
        <f>M21+M22+M23+M24+M25+M26+M27+M28</f>
        <v>25372.78</v>
      </c>
      <c r="N34" s="47">
        <f>N21+N22+N23+N24+N25+N26+N27+N28+N29+N30+N31+N32+N33</f>
        <v>408272.22000000003</v>
      </c>
      <c r="O34" s="47">
        <f t="shared" ref="O34" si="4">O21+O22+O23+O24+O25+O26+O27+O28+O29+O30</f>
        <v>354282.98000000004</v>
      </c>
      <c r="P34" s="47">
        <f>P21+P22+P23+P24+P25+P26+P27+P28+P29+P30+P31+P32+P33</f>
        <v>79362.01999999999</v>
      </c>
      <c r="Q34" s="186">
        <f>K34+P34</f>
        <v>39429362.020000003</v>
      </c>
    </row>
    <row r="35" spans="1:17" s="3" customFormat="1" ht="25.5" customHeight="1">
      <c r="A35" s="215" t="s">
        <v>21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Q35" s="40"/>
    </row>
    <row r="36" spans="1:17" s="3" customFormat="1" ht="48.75" hidden="1" customHeight="1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Q36" s="40"/>
    </row>
    <row r="37" spans="1:17" s="3" customFormat="1" ht="0.75" customHeight="1">
      <c r="A37" s="67"/>
      <c r="B37" s="202" t="s">
        <v>34</v>
      </c>
      <c r="C37" s="203" t="s">
        <v>30</v>
      </c>
      <c r="D37" s="31" t="s">
        <v>31</v>
      </c>
      <c r="E37" s="32">
        <v>3200000</v>
      </c>
      <c r="F37" s="48">
        <v>40619</v>
      </c>
      <c r="G37" s="34"/>
      <c r="H37" s="35"/>
      <c r="I37" s="36"/>
      <c r="J37" s="69"/>
      <c r="K37" s="50">
        <f>H37-J37</f>
        <v>0</v>
      </c>
      <c r="L37" s="36">
        <v>16</v>
      </c>
      <c r="M37" s="36"/>
      <c r="N37" s="50"/>
      <c r="O37" s="50"/>
      <c r="P37" s="47">
        <f>N37-O37</f>
        <v>0</v>
      </c>
      <c r="Q37" s="50">
        <f>K37+P37</f>
        <v>0</v>
      </c>
    </row>
    <row r="38" spans="1:17" s="3" customFormat="1" ht="36.75" customHeight="1">
      <c r="A38" s="28"/>
      <c r="B38" s="204" t="s">
        <v>34</v>
      </c>
      <c r="C38" s="30" t="s">
        <v>70</v>
      </c>
      <c r="D38" s="31" t="s">
        <v>31</v>
      </c>
      <c r="E38" s="32"/>
      <c r="F38" s="48"/>
      <c r="G38" s="34"/>
      <c r="H38" s="35"/>
      <c r="I38" s="36"/>
      <c r="J38" s="69"/>
      <c r="K38" s="36"/>
      <c r="L38" s="36"/>
      <c r="M38" s="36"/>
      <c r="N38" s="50">
        <v>-20936.759999999998</v>
      </c>
      <c r="O38" s="50">
        <v>-20936.759999999998</v>
      </c>
      <c r="P38" s="47">
        <v>0</v>
      </c>
      <c r="Q38" s="50">
        <v>0</v>
      </c>
    </row>
    <row r="39" spans="1:17" s="3" customFormat="1" ht="41.25" customHeight="1">
      <c r="A39" s="28"/>
      <c r="B39" s="204" t="s">
        <v>37</v>
      </c>
      <c r="C39" s="30" t="s">
        <v>49</v>
      </c>
      <c r="D39" s="31" t="s">
        <v>46</v>
      </c>
      <c r="E39" s="32">
        <v>8000000</v>
      </c>
      <c r="F39" s="48">
        <v>42243</v>
      </c>
      <c r="G39" s="34"/>
      <c r="H39" s="35">
        <v>2670000</v>
      </c>
      <c r="I39" s="36"/>
      <c r="J39" s="69">
        <f>533000+533000+533000+533000+538000</f>
        <v>2670000</v>
      </c>
      <c r="K39" s="50">
        <f>I39-J39+H39</f>
        <v>0</v>
      </c>
      <c r="L39" s="50">
        <v>10.5</v>
      </c>
      <c r="M39" s="36"/>
      <c r="N39" s="50">
        <f>22890.58+16906.44+13230.86+3859.18-454.3+8332.9</f>
        <v>64765.66</v>
      </c>
      <c r="O39" s="50">
        <f>53027.88+3404.88+8332.9</f>
        <v>64765.659999999996</v>
      </c>
      <c r="P39" s="47">
        <f>N39-O39</f>
        <v>0</v>
      </c>
      <c r="Q39" s="50">
        <f>K39+P39</f>
        <v>0</v>
      </c>
    </row>
    <row r="40" spans="1:17" s="3" customFormat="1" ht="38.25" customHeight="1">
      <c r="A40" s="28"/>
      <c r="B40" s="204" t="s">
        <v>37</v>
      </c>
      <c r="C40" s="30" t="s">
        <v>68</v>
      </c>
      <c r="D40" s="31" t="s">
        <v>69</v>
      </c>
      <c r="E40" s="32">
        <v>8000000</v>
      </c>
      <c r="F40" s="48">
        <v>42524</v>
      </c>
      <c r="G40" s="34"/>
      <c r="H40" s="35">
        <v>8000000</v>
      </c>
      <c r="I40" s="36"/>
      <c r="J40" s="69">
        <f>445000+445000+445000+445000+445000+445000+445000+445000+445000+458000</f>
        <v>4463000</v>
      </c>
      <c r="K40" s="50">
        <f>I40-J40+H40</f>
        <v>3537000</v>
      </c>
      <c r="L40" s="50">
        <v>13.3</v>
      </c>
      <c r="M40" s="36"/>
      <c r="N40" s="50">
        <f>89718.52+76757.4+79178.72+68801.08+71885.59+62318.7+59072.04+53072.47+47391.36+39953.56+38664.74+39953.57</f>
        <v>726767.74999999988</v>
      </c>
      <c r="O40" s="50">
        <f>245654.64+68801.08+71885.59+62318.7+59072.04+53072.47+47391.36+39953.56+38664.74+39953.57</f>
        <v>726767.74999999988</v>
      </c>
      <c r="P40" s="47">
        <f>N40-O40</f>
        <v>0</v>
      </c>
      <c r="Q40" s="50">
        <f>K40+P40</f>
        <v>3537000</v>
      </c>
    </row>
    <row r="41" spans="1:17" s="3" customFormat="1" ht="26.25" customHeight="1">
      <c r="A41" s="28"/>
      <c r="B41" s="204" t="s">
        <v>37</v>
      </c>
      <c r="C41" s="30" t="s">
        <v>73</v>
      </c>
      <c r="D41" s="31" t="s">
        <v>69</v>
      </c>
      <c r="E41" s="32">
        <v>11000000</v>
      </c>
      <c r="F41" s="48">
        <v>42944</v>
      </c>
      <c r="G41" s="34"/>
      <c r="H41" s="35"/>
      <c r="I41" s="36">
        <v>11000000</v>
      </c>
      <c r="J41" s="69">
        <v>0</v>
      </c>
      <c r="K41" s="50">
        <f>I41-J41+H41</f>
        <v>11000000</v>
      </c>
      <c r="L41" s="50">
        <v>15.8</v>
      </c>
      <c r="M41" s="36"/>
      <c r="N41" s="50">
        <f>133326.03+142849.31+147610.96+142849.32+147610.96</f>
        <v>714246.57999999984</v>
      </c>
      <c r="O41" s="50">
        <f>133326.03+142849.31+147610.96+142849.32+147610.96</f>
        <v>714246.57999999984</v>
      </c>
      <c r="P41" s="47">
        <f>N41-O41</f>
        <v>0</v>
      </c>
      <c r="Q41" s="50">
        <f>K41+P41</f>
        <v>11000000</v>
      </c>
    </row>
    <row r="42" spans="1:17" s="3" customFormat="1" ht="25.5" customHeight="1">
      <c r="A42" s="205"/>
      <c r="B42" s="204" t="s">
        <v>37</v>
      </c>
      <c r="C42" s="30" t="s">
        <v>82</v>
      </c>
      <c r="D42" s="31" t="s">
        <v>69</v>
      </c>
      <c r="E42" s="32"/>
      <c r="F42" s="48">
        <v>43075</v>
      </c>
      <c r="G42" s="34"/>
      <c r="H42" s="35"/>
      <c r="I42" s="36">
        <v>8000000</v>
      </c>
      <c r="J42" s="69"/>
      <c r="K42" s="50">
        <f>I42-J42+H42</f>
        <v>8000000</v>
      </c>
      <c r="L42" s="50">
        <v>13.47</v>
      </c>
      <c r="M42" s="36"/>
      <c r="N42" s="50">
        <f>70870.09</f>
        <v>70870.09</v>
      </c>
      <c r="O42" s="50">
        <f>70870.09</f>
        <v>70870.09</v>
      </c>
      <c r="P42" s="47">
        <f>N42-O42</f>
        <v>0</v>
      </c>
      <c r="Q42" s="50">
        <f>K42+P42</f>
        <v>8000000</v>
      </c>
    </row>
    <row r="43" spans="1:17" s="3" customFormat="1" ht="15" customHeight="1">
      <c r="A43" s="68" t="s">
        <v>15</v>
      </c>
      <c r="B43" s="45"/>
      <c r="C43" s="30"/>
      <c r="D43" s="31"/>
      <c r="E43" s="32">
        <f>E39+E40+E40+E41</f>
        <v>35000000</v>
      </c>
      <c r="F43" s="32"/>
      <c r="G43" s="32"/>
      <c r="H43" s="32">
        <f t="shared" ref="H43" si="5">H39+H40</f>
        <v>10670000</v>
      </c>
      <c r="I43" s="200">
        <f>I39+I40+I41+I42</f>
        <v>19000000</v>
      </c>
      <c r="J43" s="47">
        <f>J39+J40+J41+J42</f>
        <v>7133000</v>
      </c>
      <c r="K43" s="47">
        <f>K39+K40+K41+K42</f>
        <v>22537000</v>
      </c>
      <c r="L43" s="32"/>
      <c r="M43" s="32"/>
      <c r="N43" s="47">
        <f>N39+N40+N38+N41+N42</f>
        <v>1555713.3199999998</v>
      </c>
      <c r="O43" s="47">
        <f>O39+O40+O38+O41+O42</f>
        <v>1555713.3199999998</v>
      </c>
      <c r="P43" s="47">
        <f>P39+P40+P38+P41</f>
        <v>0</v>
      </c>
      <c r="Q43" s="47">
        <f>Q39+Q40+Q41+Q42</f>
        <v>22537000</v>
      </c>
    </row>
    <row r="44" spans="1:17" s="3" customFormat="1" ht="10.5" customHeight="1">
      <c r="A44" s="215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Q44" s="40"/>
    </row>
    <row r="45" spans="1:17" s="3" customFormat="1" ht="10.5" customHeight="1">
      <c r="A45" s="28"/>
      <c r="B45" s="29"/>
      <c r="C45" s="30"/>
      <c r="D45" s="31"/>
      <c r="E45" s="32"/>
      <c r="F45" s="33"/>
      <c r="G45" s="34"/>
      <c r="H45" s="35"/>
      <c r="I45" s="36"/>
      <c r="J45" s="37"/>
      <c r="K45" s="36"/>
      <c r="L45" s="36"/>
      <c r="M45" s="36"/>
      <c r="N45" s="36"/>
      <c r="O45" s="36"/>
      <c r="P45" s="36"/>
      <c r="Q45" s="36"/>
    </row>
    <row r="46" spans="1:17" s="3" customFormat="1" ht="12.75" customHeight="1">
      <c r="A46" s="44" t="s">
        <v>15</v>
      </c>
      <c r="B46" s="45"/>
      <c r="C46" s="30"/>
      <c r="D46" s="31"/>
      <c r="E46" s="32"/>
      <c r="F46" s="33"/>
      <c r="G46" s="34"/>
      <c r="H46" s="35"/>
      <c r="I46" s="36"/>
      <c r="J46" s="37"/>
      <c r="K46" s="36"/>
      <c r="L46" s="36"/>
      <c r="M46" s="36"/>
      <c r="N46" s="36"/>
      <c r="O46" s="36"/>
      <c r="P46" s="36"/>
      <c r="Q46" s="36"/>
    </row>
    <row r="47" spans="1:17" s="24" customFormat="1" ht="23.25" customHeight="1">
      <c r="A47" s="217" t="s">
        <v>17</v>
      </c>
      <c r="B47" s="218"/>
      <c r="C47" s="219"/>
      <c r="D47" s="219"/>
      <c r="E47" s="219"/>
      <c r="F47" s="220"/>
      <c r="G47" s="23"/>
      <c r="H47" s="57">
        <f>H34+H43</f>
        <v>23764000</v>
      </c>
      <c r="I47" s="57">
        <f>I34+I43</f>
        <v>66900000</v>
      </c>
      <c r="J47" s="56">
        <f>J34+J43</f>
        <v>28777000</v>
      </c>
      <c r="K47" s="56">
        <f>K34+K43</f>
        <v>61887000</v>
      </c>
      <c r="L47" s="58"/>
      <c r="M47" s="56">
        <f>M34+M43</f>
        <v>25372.78</v>
      </c>
      <c r="N47" s="56">
        <f>N34+N43</f>
        <v>1963985.5399999998</v>
      </c>
      <c r="O47" s="56">
        <f>O34+O43</f>
        <v>1909996.2999999998</v>
      </c>
      <c r="P47" s="56">
        <f>P34+P43</f>
        <v>79362.01999999999</v>
      </c>
      <c r="Q47" s="187">
        <f>Q34+Q43</f>
        <v>61966362.020000003</v>
      </c>
    </row>
    <row r="48" spans="1:17" ht="10.5" customHeight="1">
      <c r="A48" s="18"/>
      <c r="B48" s="25"/>
      <c r="C48" s="19"/>
      <c r="D48" s="19"/>
      <c r="E48" s="20"/>
      <c r="F48" s="22"/>
      <c r="G48" s="22"/>
      <c r="H48" s="26"/>
      <c r="I48" s="27"/>
      <c r="J48" s="27"/>
      <c r="K48" s="26"/>
      <c r="L48" s="26"/>
      <c r="M48" s="26"/>
      <c r="N48" s="26"/>
      <c r="O48" s="26"/>
      <c r="P48" s="26"/>
      <c r="Q48" s="26"/>
    </row>
    <row r="49" spans="2:14">
      <c r="N49" s="71"/>
    </row>
    <row r="50" spans="2:14" ht="17.25" customHeight="1">
      <c r="B50" s="207" t="s">
        <v>51</v>
      </c>
      <c r="C50" s="208"/>
      <c r="D50" s="208"/>
      <c r="E50" s="209"/>
      <c r="F50" s="210"/>
      <c r="G50" s="210"/>
      <c r="H50" s="211"/>
      <c r="I50" s="212"/>
      <c r="J50" s="212"/>
      <c r="K50" s="212"/>
    </row>
    <row r="53" spans="2:14" ht="15.75">
      <c r="B53" s="207" t="s">
        <v>76</v>
      </c>
      <c r="C53" s="213"/>
      <c r="D53" s="213"/>
      <c r="E53" s="213"/>
      <c r="F53" s="213"/>
      <c r="G53" s="213"/>
      <c r="H53" s="213"/>
      <c r="I53" s="213"/>
      <c r="J53" s="213"/>
      <c r="K53" s="213"/>
    </row>
    <row r="55" spans="2:14" ht="25.5">
      <c r="B55" s="201"/>
      <c r="C55" s="5" t="s">
        <v>27</v>
      </c>
    </row>
    <row r="67" spans="3:3" ht="16.5" customHeight="1"/>
    <row r="68" spans="3:3" ht="30" customHeight="1">
      <c r="C68" s="21"/>
    </row>
  </sheetData>
  <mergeCells count="12">
    <mergeCell ref="B50:K50"/>
    <mergeCell ref="B53:K53"/>
    <mergeCell ref="L1:Q2"/>
    <mergeCell ref="A44:M44"/>
    <mergeCell ref="A47:F47"/>
    <mergeCell ref="N5:O5"/>
    <mergeCell ref="A35:M35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D9" workbookViewId="0">
      <selection activeCell="Q19" sqref="Q19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29" t="s">
        <v>35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84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3</v>
      </c>
      <c r="B16" s="29" t="s">
        <v>24</v>
      </c>
      <c r="C16" s="30" t="s">
        <v>67</v>
      </c>
      <c r="D16" s="31" t="s">
        <v>32</v>
      </c>
      <c r="E16" s="47">
        <v>386000</v>
      </c>
      <c r="F16" s="48">
        <v>42448</v>
      </c>
      <c r="G16" s="65" t="s">
        <v>43</v>
      </c>
      <c r="H16" s="36">
        <v>275000</v>
      </c>
      <c r="I16" s="36"/>
      <c r="J16" s="36">
        <f>22000+17000+13000+10000+213000</f>
        <v>275000</v>
      </c>
      <c r="K16" s="36">
        <f>H16-J16+I16</f>
        <v>0</v>
      </c>
      <c r="L16" s="69">
        <f>8.25*1/3</f>
        <v>2.75</v>
      </c>
      <c r="M16" s="50">
        <v>12884.39</v>
      </c>
      <c r="N16" s="50">
        <f>845.91+580.14+84.7+105.72+642.29+93.78+123.62+621.58+90.75+130.95+642.29+93.78+138.14+595.28+93.78+145.59+551.21+93.78+152.71+551.21+93.78+159.51+533.42+90.75+161+529.36+8.53+173.06+481.44+85.25+173.34+449.34+77</f>
        <v>9392.99</v>
      </c>
      <c r="O16" s="50">
        <v>21751.040000000001</v>
      </c>
      <c r="P16" s="50">
        <f>N16-O16+M16</f>
        <v>526.33999999999833</v>
      </c>
      <c r="Q16" s="50">
        <f>K16+P16</f>
        <v>526.33999999999833</v>
      </c>
    </row>
    <row r="17" spans="1:17" ht="105">
      <c r="A17" s="61" t="s">
        <v>52</v>
      </c>
      <c r="B17" s="29" t="s">
        <v>24</v>
      </c>
      <c r="C17" s="30" t="s">
        <v>63</v>
      </c>
      <c r="D17" s="31" t="s">
        <v>32</v>
      </c>
      <c r="E17" s="47">
        <v>800000</v>
      </c>
      <c r="F17" s="48">
        <v>42819</v>
      </c>
      <c r="G17" s="65" t="s">
        <v>43</v>
      </c>
      <c r="H17" s="36">
        <v>614000</v>
      </c>
      <c r="I17" s="36"/>
      <c r="J17" s="36"/>
      <c r="K17" s="36">
        <f>H17-J17+I17</f>
        <v>614000</v>
      </c>
      <c r="L17" s="69">
        <f>8.25*1/3</f>
        <v>2.75</v>
      </c>
      <c r="M17" s="50">
        <v>1450.64</v>
      </c>
      <c r="N17" s="50">
        <f>1633.99+1265.45+23.75+1382.68+37.29+187.55+1338.08+49.35+181.5+1382.68+64.37+187.55+1382.68+78.3+187.55+1382.68+92.35+187.55+1382.68+106.53+187.55+1338.08+181.5+116.93+1382.68+134.77+187.55+1387.81+144.49+181.5+1434.07+187.55</f>
        <v>19399.04</v>
      </c>
      <c r="O17" s="50">
        <v>19228.060000000001</v>
      </c>
      <c r="P17" s="50">
        <f>N17-O17+M17</f>
        <v>1621.6199999999997</v>
      </c>
      <c r="Q17" s="50">
        <f>K17+P17</f>
        <v>615621.62</v>
      </c>
    </row>
    <row r="18" spans="1:17" ht="105">
      <c r="A18" s="61"/>
      <c r="B18" s="29" t="s">
        <v>24</v>
      </c>
      <c r="C18" s="30" t="s">
        <v>88</v>
      </c>
      <c r="D18" s="31" t="s">
        <v>32</v>
      </c>
      <c r="E18" s="47">
        <v>1500000</v>
      </c>
      <c r="F18" s="48">
        <v>43459</v>
      </c>
      <c r="G18" s="65" t="s">
        <v>43</v>
      </c>
      <c r="H18" s="36"/>
      <c r="I18" s="36">
        <v>1500000</v>
      </c>
      <c r="J18" s="36"/>
      <c r="K18" s="36">
        <f>H18-J18+I18</f>
        <v>1500000</v>
      </c>
      <c r="L18" s="69">
        <v>2.75</v>
      </c>
      <c r="M18" s="50"/>
      <c r="N18" s="50">
        <v>1017.12</v>
      </c>
      <c r="O18" s="50"/>
      <c r="P18" s="50">
        <f>N18-O18+M18</f>
        <v>1017.12</v>
      </c>
      <c r="Q18" s="50">
        <f>K18+P18</f>
        <v>1501017.12</v>
      </c>
    </row>
    <row r="19" spans="1:17" ht="15">
      <c r="A19" s="44" t="s">
        <v>15</v>
      </c>
      <c r="B19" s="45"/>
      <c r="C19" s="30"/>
      <c r="D19" s="31"/>
      <c r="E19" s="47">
        <f>E16+E17</f>
        <v>1186000</v>
      </c>
      <c r="F19" s="47"/>
      <c r="G19" s="47"/>
      <c r="H19" s="47">
        <f t="shared" ref="H19:M19" si="0">H16+H17</f>
        <v>889000</v>
      </c>
      <c r="I19" s="47">
        <f>I18</f>
        <v>1500000</v>
      </c>
      <c r="J19" s="47">
        <f t="shared" si="0"/>
        <v>275000</v>
      </c>
      <c r="K19" s="47">
        <f>K16+K17+K18</f>
        <v>2114000</v>
      </c>
      <c r="L19" s="47"/>
      <c r="M19" s="47">
        <f t="shared" si="0"/>
        <v>14335.029999999999</v>
      </c>
      <c r="N19" s="47">
        <f>N16+N17+N18</f>
        <v>29809.149999999998</v>
      </c>
      <c r="O19" s="47">
        <f t="shared" ref="O19:P19" si="1">O16+O17+O18</f>
        <v>40979.100000000006</v>
      </c>
      <c r="P19" s="47">
        <f t="shared" si="1"/>
        <v>3165.0799999999981</v>
      </c>
      <c r="Q19" s="47">
        <f>Q16+Q17+Q18</f>
        <v>2117165.08</v>
      </c>
    </row>
    <row r="20" spans="1:17" ht="15">
      <c r="A20" s="215" t="s">
        <v>21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2">I22+I23+I24</f>
        <v>0</v>
      </c>
      <c r="J25" s="36">
        <f t="shared" si="2"/>
        <v>0</v>
      </c>
      <c r="K25" s="36">
        <f t="shared" si="2"/>
        <v>0</v>
      </c>
      <c r="L25" s="36"/>
      <c r="M25" s="36">
        <f t="shared" si="2"/>
        <v>0</v>
      </c>
      <c r="N25" s="50">
        <f t="shared" si="2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15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889000</v>
      </c>
      <c r="I29" s="57">
        <f>I19+I25</f>
        <v>1500000</v>
      </c>
      <c r="J29" s="56">
        <f>J19+J25</f>
        <v>275000</v>
      </c>
      <c r="K29" s="56">
        <f>K19+K25</f>
        <v>2114000</v>
      </c>
      <c r="L29" s="58"/>
      <c r="M29" s="57">
        <v>371.58</v>
      </c>
      <c r="N29" s="56">
        <f>N19+N25</f>
        <v>29809.149999999998</v>
      </c>
      <c r="O29" s="56">
        <f>O19+O25</f>
        <v>40979.100000000006</v>
      </c>
      <c r="P29" s="56">
        <f>P19+P25</f>
        <v>3165.0799999999981</v>
      </c>
      <c r="Q29" s="56">
        <f>Q19+Q25</f>
        <v>2117165.08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207" t="s">
        <v>54</v>
      </c>
      <c r="C32" s="208"/>
      <c r="D32" s="208"/>
      <c r="E32" s="209"/>
      <c r="F32" s="210"/>
      <c r="G32" s="210"/>
      <c r="H32" s="211"/>
      <c r="I32" s="212"/>
      <c r="J32" s="212"/>
      <c r="K32" s="212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207" t="s">
        <v>74</v>
      </c>
      <c r="C35" s="213"/>
      <c r="D35" s="213"/>
      <c r="E35" s="213"/>
      <c r="F35" s="213"/>
      <c r="G35" s="213"/>
      <c r="H35" s="213"/>
      <c r="I35" s="213"/>
      <c r="J35" s="213"/>
      <c r="K35" s="213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5.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B32:K32"/>
    <mergeCell ref="B35:K35"/>
    <mergeCell ref="A10:M10"/>
    <mergeCell ref="A13:M13"/>
    <mergeCell ref="A20:M20"/>
    <mergeCell ref="A26:M26"/>
    <mergeCell ref="A1:Q1"/>
    <mergeCell ref="D2:K2"/>
    <mergeCell ref="N3:O3"/>
    <mergeCell ref="F5:J5"/>
    <mergeCell ref="A29:F29"/>
  </mergeCells>
  <phoneticPr fontId="8" type="noConversion"/>
  <pageMargins left="0.75" right="0.75" top="1" bottom="1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1" workbookViewId="0">
      <selection activeCell="N17" sqref="N17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29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85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64</v>
      </c>
      <c r="D16" s="31" t="s">
        <v>32</v>
      </c>
      <c r="E16" s="47">
        <v>500000</v>
      </c>
      <c r="F16" s="48">
        <v>42819</v>
      </c>
      <c r="G16" s="65" t="s">
        <v>43</v>
      </c>
      <c r="H16" s="36">
        <v>332000</v>
      </c>
      <c r="I16" s="36"/>
      <c r="J16" s="36">
        <f>14000+14000+14000+14000+14000+14000+14000+14000+14000</f>
        <v>126000</v>
      </c>
      <c r="K16" s="36">
        <f>H16-J16+I16</f>
        <v>206000</v>
      </c>
      <c r="L16" s="69">
        <v>2.75</v>
      </c>
      <c r="M16" s="50">
        <v>780.7</v>
      </c>
      <c r="N16" s="50">
        <f>763.82+651.86+710.03+119.35+687.12+115.5+0.98+710.03+119.35+1.02+693.15+4.07+816.41+38.5+625.64+11.55-10.32+568.99+551.81+510.97+985.63</f>
        <v>8675.4599999999991</v>
      </c>
      <c r="O16" s="50">
        <f>780.7+763.82+651.86+829.38-119.35+922.95-235.83+710.03+693.15+816.41+1025.64+568.99+551.81+510.97</f>
        <v>8470.5299999999988</v>
      </c>
      <c r="P16" s="50">
        <f>M16+N16-O16</f>
        <v>985.63000000000102</v>
      </c>
      <c r="Q16" s="50">
        <f>K16+P16</f>
        <v>206985.63</v>
      </c>
    </row>
    <row r="17" spans="1:17" ht="105">
      <c r="A17" s="28"/>
      <c r="B17" s="29" t="s">
        <v>24</v>
      </c>
      <c r="C17" s="30" t="s">
        <v>87</v>
      </c>
      <c r="D17" s="31" t="s">
        <v>32</v>
      </c>
      <c r="E17" s="47">
        <v>700000</v>
      </c>
      <c r="F17" s="48">
        <v>43459</v>
      </c>
      <c r="G17" s="206"/>
      <c r="H17" s="36">
        <v>0</v>
      </c>
      <c r="I17" s="36">
        <v>700000</v>
      </c>
      <c r="J17" s="36"/>
      <c r="K17" s="36">
        <f>H17-J17+I17</f>
        <v>700000</v>
      </c>
      <c r="L17" s="69">
        <v>2.75</v>
      </c>
      <c r="M17" s="50"/>
      <c r="N17" s="50"/>
      <c r="O17" s="50"/>
      <c r="P17" s="50">
        <f>M17+N17-O17</f>
        <v>0</v>
      </c>
      <c r="Q17" s="50">
        <f>K17+P17</f>
        <v>700000</v>
      </c>
    </row>
    <row r="18" spans="1:17" ht="15">
      <c r="A18" s="28"/>
      <c r="B18" s="62"/>
      <c r="C18" s="30"/>
      <c r="D18" s="31"/>
      <c r="E18" s="47"/>
      <c r="F18" s="48"/>
      <c r="G18" s="51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</f>
        <v>332000</v>
      </c>
      <c r="I20" s="47">
        <v>700000</v>
      </c>
      <c r="J20" s="47">
        <f t="shared" ref="J20:P20" si="0">J16+J18+J19</f>
        <v>126000</v>
      </c>
      <c r="K20" s="47">
        <f>K16+K18+K19+K17</f>
        <v>906000</v>
      </c>
      <c r="L20" s="47">
        <f t="shared" si="0"/>
        <v>2.75</v>
      </c>
      <c r="M20" s="47">
        <f t="shared" si="0"/>
        <v>780.7</v>
      </c>
      <c r="N20" s="47">
        <f t="shared" si="0"/>
        <v>8675.4599999999991</v>
      </c>
      <c r="O20" s="47">
        <f t="shared" si="0"/>
        <v>8470.5299999999988</v>
      </c>
      <c r="P20" s="47">
        <f t="shared" si="0"/>
        <v>985.63000000000102</v>
      </c>
      <c r="Q20" s="47">
        <f>Q16+Q18+Q19+Q17</f>
        <v>906985.63</v>
      </c>
    </row>
    <row r="21" spans="1:17" ht="15">
      <c r="A21" s="215" t="s">
        <v>21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1">I23+I24+I25</f>
        <v>0</v>
      </c>
      <c r="J26" s="36">
        <f t="shared" si="1"/>
        <v>0</v>
      </c>
      <c r="K26" s="36">
        <f t="shared" si="1"/>
        <v>0</v>
      </c>
      <c r="L26" s="36"/>
      <c r="M26" s="36">
        <f t="shared" si="1"/>
        <v>0</v>
      </c>
      <c r="N26" s="50">
        <f t="shared" si="1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17" t="s">
        <v>17</v>
      </c>
      <c r="B30" s="218"/>
      <c r="C30" s="219"/>
      <c r="D30" s="219"/>
      <c r="E30" s="219"/>
      <c r="F30" s="220"/>
      <c r="G30" s="23"/>
      <c r="H30" s="57">
        <f>H20+H26</f>
        <v>332000</v>
      </c>
      <c r="I30" s="57">
        <f>I20+I26</f>
        <v>700000</v>
      </c>
      <c r="J30" s="56">
        <f>J20+J26</f>
        <v>126000</v>
      </c>
      <c r="K30" s="56">
        <f>K20+K26</f>
        <v>906000</v>
      </c>
      <c r="L30" s="58"/>
      <c r="M30" s="57">
        <v>780.7</v>
      </c>
      <c r="N30" s="56">
        <f>N20+N26</f>
        <v>8675.4599999999991</v>
      </c>
      <c r="O30" s="56">
        <f>O20+O26</f>
        <v>8470.5299999999988</v>
      </c>
      <c r="P30" s="56">
        <f>P20+P26</f>
        <v>985.63000000000102</v>
      </c>
      <c r="Q30" s="56">
        <f>Q20+Q26</f>
        <v>906985.63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07" t="s">
        <v>56</v>
      </c>
      <c r="C33" s="208"/>
      <c r="D33" s="208"/>
      <c r="E33" s="209"/>
      <c r="F33" s="210"/>
      <c r="G33" s="210"/>
      <c r="H33" s="211"/>
      <c r="I33" s="212"/>
      <c r="J33" s="212"/>
      <c r="K33" s="212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07" t="s">
        <v>75</v>
      </c>
      <c r="C36" s="213"/>
      <c r="D36" s="213"/>
      <c r="E36" s="213"/>
      <c r="F36" s="213"/>
      <c r="G36" s="213"/>
      <c r="H36" s="213"/>
      <c r="I36" s="213"/>
      <c r="J36" s="213"/>
      <c r="K36" s="213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55</v>
      </c>
      <c r="D38" s="5"/>
      <c r="E38" s="10"/>
      <c r="F38" s="13"/>
      <c r="G38" s="13"/>
      <c r="H38" s="1"/>
      <c r="I38" s="1"/>
      <c r="J38" s="1" t="s">
        <v>57</v>
      </c>
      <c r="K38" s="1"/>
      <c r="L38" s="1"/>
      <c r="M38" s="1"/>
      <c r="N38" s="1"/>
      <c r="O38" s="1"/>
      <c r="P38" s="1"/>
      <c r="Q38" s="1"/>
    </row>
  </sheetData>
  <mergeCells count="11">
    <mergeCell ref="B36:K36"/>
    <mergeCell ref="A10:M10"/>
    <mergeCell ref="A13:M13"/>
    <mergeCell ref="A21:M21"/>
    <mergeCell ref="A27:M27"/>
    <mergeCell ref="B33:K33"/>
    <mergeCell ref="A1:Q1"/>
    <mergeCell ref="D2:K2"/>
    <mergeCell ref="N3:O3"/>
    <mergeCell ref="F5:J5"/>
    <mergeCell ref="A30:F30"/>
  </mergeCells>
  <phoneticPr fontId="8" type="noConversion"/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6" sqref="N16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47" t="s">
        <v>40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  <c r="P1" s="249"/>
      <c r="Q1" s="249"/>
    </row>
    <row r="2" spans="1:17" ht="20.25">
      <c r="A2" s="74"/>
      <c r="B2" s="75"/>
      <c r="C2" s="75"/>
      <c r="D2" s="250" t="s">
        <v>86</v>
      </c>
      <c r="E2" s="251"/>
      <c r="F2" s="251"/>
      <c r="G2" s="251"/>
      <c r="H2" s="251"/>
      <c r="I2" s="251"/>
      <c r="J2" s="251"/>
      <c r="K2" s="251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52" t="s">
        <v>22</v>
      </c>
      <c r="O3" s="252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53"/>
      <c r="G5" s="253"/>
      <c r="H5" s="253"/>
      <c r="I5" s="253"/>
      <c r="J5" s="253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263.25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6" t="s">
        <v>19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34" t="s">
        <v>20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141.75">
      <c r="A15" s="90">
        <v>2</v>
      </c>
      <c r="B15" s="91" t="s">
        <v>24</v>
      </c>
      <c r="C15" s="92" t="s">
        <v>65</v>
      </c>
      <c r="D15" s="93"/>
      <c r="E15" s="103">
        <v>380000</v>
      </c>
      <c r="F15" s="104">
        <v>42819</v>
      </c>
      <c r="G15" s="108" t="s">
        <v>43</v>
      </c>
      <c r="H15" s="97">
        <v>281000</v>
      </c>
      <c r="I15" s="97"/>
      <c r="J15" s="97">
        <f>42000+30000+16000+11000+11000</f>
        <v>110000</v>
      </c>
      <c r="K15" s="97">
        <f>H15-J15+I15</f>
        <v>171000</v>
      </c>
      <c r="L15" s="107">
        <v>2.75</v>
      </c>
      <c r="M15" s="107">
        <v>661.28</v>
      </c>
      <c r="N15" s="107">
        <f>674.64+592.79+169.4+0.37+656.31+187.55+17.89+556.03+558.21+187.55+558.21+187.55+6.36+526.57+488.14+136.4+4.49+439.85+436.68+400.6+399.4+136.4+3.42</f>
        <v>7324.8099999999995</v>
      </c>
      <c r="O15" s="107">
        <f>2960.23+556.03+1116.42+381.46+136.4+4.49+1014.71+439.85+436.68</f>
        <v>7046.27</v>
      </c>
      <c r="P15" s="107">
        <f>M15+N15-O15</f>
        <v>939.8199999999988</v>
      </c>
      <c r="Q15" s="107">
        <f>K15+P15</f>
        <v>171939.82</v>
      </c>
    </row>
    <row r="16" spans="1:17" ht="20.25">
      <c r="A16" s="90"/>
      <c r="B16" s="109"/>
      <c r="C16" s="92"/>
      <c r="D16" s="93"/>
      <c r="E16" s="103"/>
      <c r="F16" s="104"/>
      <c r="G16" s="110"/>
      <c r="H16" s="97"/>
      <c r="I16" s="97"/>
      <c r="J16" s="97"/>
      <c r="K16" s="97"/>
      <c r="L16" s="106"/>
      <c r="M16" s="107"/>
      <c r="N16" s="107"/>
      <c r="O16" s="107"/>
      <c r="P16" s="107"/>
      <c r="Q16" s="107"/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>
        <f>E14+E15+E16+E17</f>
        <v>380000</v>
      </c>
      <c r="F18" s="103"/>
      <c r="G18" s="103"/>
      <c r="H18" s="103">
        <f t="shared" ref="H18:Q18" si="0">H14+H15+H16+H17</f>
        <v>281000</v>
      </c>
      <c r="I18" s="103">
        <f t="shared" si="0"/>
        <v>0</v>
      </c>
      <c r="J18" s="103">
        <f t="shared" si="0"/>
        <v>110000</v>
      </c>
      <c r="K18" s="103">
        <f t="shared" si="0"/>
        <v>171000</v>
      </c>
      <c r="L18" s="103"/>
      <c r="M18" s="103">
        <f t="shared" si="0"/>
        <v>661.28</v>
      </c>
      <c r="N18" s="103">
        <f t="shared" si="0"/>
        <v>7324.8099999999995</v>
      </c>
      <c r="O18" s="103">
        <f t="shared" si="0"/>
        <v>7046.27</v>
      </c>
      <c r="P18" s="103">
        <f t="shared" si="0"/>
        <v>939.8199999999988</v>
      </c>
      <c r="Q18" s="103">
        <f t="shared" si="0"/>
        <v>171939.82</v>
      </c>
    </row>
    <row r="19" spans="1:17" ht="20.25">
      <c r="A19" s="236" t="s">
        <v>21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36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39" t="s">
        <v>17</v>
      </c>
      <c r="B28" s="240"/>
      <c r="C28" s="241"/>
      <c r="D28" s="241"/>
      <c r="E28" s="241"/>
      <c r="F28" s="242"/>
      <c r="G28" s="118"/>
      <c r="H28" s="119">
        <f>H18+H24</f>
        <v>281000</v>
      </c>
      <c r="I28" s="119">
        <f>I18+I24</f>
        <v>0</v>
      </c>
      <c r="J28" s="120">
        <f>J18+J24</f>
        <v>110000</v>
      </c>
      <c r="K28" s="120">
        <f>K18+K24</f>
        <v>171000</v>
      </c>
      <c r="L28" s="121"/>
      <c r="M28" s="119">
        <f>M18</f>
        <v>661.28</v>
      </c>
      <c r="N28" s="120">
        <f>N18+N24</f>
        <v>7324.8099999999995</v>
      </c>
      <c r="O28" s="120">
        <f>O18+O24</f>
        <v>7046.27</v>
      </c>
      <c r="P28" s="107">
        <f>M28+N28-O28</f>
        <v>939.8199999999988</v>
      </c>
      <c r="Q28" s="120">
        <f>Q18+Q24</f>
        <v>171939.82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32" t="s">
        <v>53</v>
      </c>
      <c r="C31" s="243"/>
      <c r="D31" s="243"/>
      <c r="E31" s="244"/>
      <c r="F31" s="245"/>
      <c r="G31" s="245"/>
      <c r="H31" s="246"/>
      <c r="I31" s="233"/>
      <c r="J31" s="233"/>
      <c r="K31" s="233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32" t="s">
        <v>76</v>
      </c>
      <c r="C34" s="233"/>
      <c r="D34" s="233"/>
      <c r="E34" s="233"/>
      <c r="F34" s="233"/>
      <c r="G34" s="233"/>
      <c r="H34" s="233"/>
      <c r="I34" s="233"/>
      <c r="J34" s="233"/>
      <c r="K34" s="233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58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5" sqref="N15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29" t="s">
        <v>41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70"/>
      <c r="P1" s="270"/>
      <c r="Q1" s="270"/>
    </row>
    <row r="2" spans="1:17" ht="18.75">
      <c r="A2" s="130"/>
      <c r="B2" s="131"/>
      <c r="C2" s="131"/>
      <c r="D2" s="271" t="s">
        <v>86</v>
      </c>
      <c r="E2" s="272"/>
      <c r="F2" s="272"/>
      <c r="G2" s="272"/>
      <c r="H2" s="272"/>
      <c r="I2" s="272"/>
      <c r="J2" s="272"/>
      <c r="K2" s="272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73" t="s">
        <v>22</v>
      </c>
      <c r="O3" s="273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74"/>
      <c r="G5" s="274"/>
      <c r="H5" s="274"/>
      <c r="I5" s="274"/>
      <c r="J5" s="274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59" t="s">
        <v>19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57" t="s">
        <v>20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2</v>
      </c>
      <c r="B15" s="147" t="s">
        <v>24</v>
      </c>
      <c r="C15" s="148" t="s">
        <v>66</v>
      </c>
      <c r="D15" s="149" t="s">
        <v>32</v>
      </c>
      <c r="E15" s="159">
        <v>1100000</v>
      </c>
      <c r="F15" s="160">
        <v>42819</v>
      </c>
      <c r="G15" s="164" t="s">
        <v>43</v>
      </c>
      <c r="H15" s="153">
        <v>821000</v>
      </c>
      <c r="I15" s="153"/>
      <c r="J15" s="153">
        <f>31000+31000+31000+31000+16000+36000+31000+31000+31000+19000+12000+31000+31000</f>
        <v>362000</v>
      </c>
      <c r="K15" s="153">
        <f>H15-J15+I15</f>
        <v>459000</v>
      </c>
      <c r="L15" s="171">
        <v>2.75</v>
      </c>
      <c r="M15" s="163">
        <v>2399.58</v>
      </c>
      <c r="N15" s="163">
        <f>2610.2+2243.1+85.25+1854.97+1753.97+1865.18+127.88+1903.6+1966.74+41.25+1539.92+1587.84+1556.05+69.3+1502.86+1425.55+59.68</f>
        <v>22193.339999999997</v>
      </c>
      <c r="O15" s="163">
        <f>2399.58+2610.2+2413.6+1769.72+1753.97+1993.06+1903.6+2007.99+1539.92+1587.84+1556.05+69.3+1502.86</f>
        <v>23107.69</v>
      </c>
      <c r="P15" s="163">
        <f>N15-O15+M15</f>
        <v>1485.2299999999977</v>
      </c>
      <c r="Q15" s="163">
        <f>K15+M15+N15-O15</f>
        <v>460485.23000000004</v>
      </c>
    </row>
    <row r="16" spans="1:17" ht="19.5">
      <c r="A16" s="146"/>
      <c r="B16" s="165"/>
      <c r="C16" s="148"/>
      <c r="D16" s="149"/>
      <c r="E16" s="159"/>
      <c r="F16" s="160"/>
      <c r="G16" s="166"/>
      <c r="H16" s="153"/>
      <c r="I16" s="153"/>
      <c r="J16" s="153"/>
      <c r="K16" s="153"/>
      <c r="L16" s="162"/>
      <c r="M16" s="163"/>
      <c r="N16" s="163"/>
      <c r="O16" s="163"/>
      <c r="P16" s="163"/>
      <c r="Q16" s="163"/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1100000</v>
      </c>
      <c r="F18" s="159"/>
      <c r="G18" s="159"/>
      <c r="H18" s="159">
        <v>821000</v>
      </c>
      <c r="I18" s="159"/>
      <c r="J18" s="159">
        <f t="shared" ref="J18:Q18" si="0">J15+J16+J17</f>
        <v>362000</v>
      </c>
      <c r="K18" s="159">
        <f t="shared" si="0"/>
        <v>459000</v>
      </c>
      <c r="L18" s="159">
        <f t="shared" si="0"/>
        <v>2.75</v>
      </c>
      <c r="M18" s="159">
        <f t="shared" si="0"/>
        <v>2399.58</v>
      </c>
      <c r="N18" s="159">
        <f t="shared" si="0"/>
        <v>22193.339999999997</v>
      </c>
      <c r="O18" s="159">
        <f t="shared" si="0"/>
        <v>23107.69</v>
      </c>
      <c r="P18" s="159">
        <f t="shared" si="0"/>
        <v>1485.2299999999977</v>
      </c>
      <c r="Q18" s="159">
        <f t="shared" si="0"/>
        <v>460485.23000000004</v>
      </c>
    </row>
    <row r="19" spans="1:17" ht="18.75">
      <c r="A19" s="259" t="s">
        <v>21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59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2" t="s">
        <v>17</v>
      </c>
      <c r="B28" s="263"/>
      <c r="C28" s="264"/>
      <c r="D28" s="264"/>
      <c r="E28" s="264"/>
      <c r="F28" s="265"/>
      <c r="G28" s="174"/>
      <c r="H28" s="175">
        <f>H18+H24</f>
        <v>821000</v>
      </c>
      <c r="I28" s="175">
        <f>I18+I24</f>
        <v>0</v>
      </c>
      <c r="J28" s="176">
        <f>J18+J24</f>
        <v>362000</v>
      </c>
      <c r="K28" s="176">
        <f>K18+K24</f>
        <v>459000</v>
      </c>
      <c r="L28" s="58"/>
      <c r="M28" s="175">
        <f>M18</f>
        <v>2399.58</v>
      </c>
      <c r="N28" s="176">
        <f>N18+N24</f>
        <v>22193.339999999997</v>
      </c>
      <c r="O28" s="176">
        <f>O18+O24</f>
        <v>23107.69</v>
      </c>
      <c r="P28" s="176">
        <f>P18+P24</f>
        <v>1485.2299999999977</v>
      </c>
      <c r="Q28" s="176">
        <f>K28+P28</f>
        <v>460485.23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55" t="s">
        <v>53</v>
      </c>
      <c r="C31" s="266"/>
      <c r="D31" s="266"/>
      <c r="E31" s="267"/>
      <c r="F31" s="268"/>
      <c r="G31" s="268"/>
      <c r="H31" s="269"/>
      <c r="I31" s="256"/>
      <c r="J31" s="256"/>
      <c r="K31" s="256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55" t="s">
        <v>77</v>
      </c>
      <c r="C34" s="256"/>
      <c r="D34" s="256"/>
      <c r="E34" s="256"/>
      <c r="F34" s="256"/>
      <c r="G34" s="256"/>
      <c r="H34" s="256"/>
      <c r="I34" s="256"/>
      <c r="J34" s="256"/>
      <c r="K34" s="256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78</v>
      </c>
      <c r="J36" s="1"/>
      <c r="K36" s="1"/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29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70"/>
      <c r="P1" s="270"/>
      <c r="Q1" s="270"/>
    </row>
    <row r="2" spans="1:17" ht="18.75">
      <c r="A2" s="130"/>
      <c r="B2" s="131"/>
      <c r="C2" s="131"/>
      <c r="D2" s="271" t="s">
        <v>89</v>
      </c>
      <c r="E2" s="272"/>
      <c r="F2" s="272"/>
      <c r="G2" s="272"/>
      <c r="H2" s="272"/>
      <c r="I2" s="272"/>
      <c r="J2" s="272"/>
      <c r="K2" s="272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73" t="s">
        <v>22</v>
      </c>
      <c r="O3" s="273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74"/>
      <c r="G5" s="274"/>
      <c r="H5" s="274"/>
      <c r="I5" s="274"/>
      <c r="J5" s="274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59" t="s">
        <v>19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57" t="s">
        <v>20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2</v>
      </c>
      <c r="B15" s="147" t="s">
        <v>24</v>
      </c>
      <c r="C15" s="148" t="s">
        <v>48</v>
      </c>
      <c r="D15" s="149" t="s">
        <v>32</v>
      </c>
      <c r="E15" s="159">
        <v>780000</v>
      </c>
      <c r="F15" s="160">
        <v>42389</v>
      </c>
      <c r="G15" s="164" t="s">
        <v>43</v>
      </c>
      <c r="H15" s="153">
        <v>417000</v>
      </c>
      <c r="I15" s="153"/>
      <c r="J15" s="153">
        <f>33000+33000+33000+8154+24846+8154+33000+8154+8154+8154+8154</f>
        <v>205770</v>
      </c>
      <c r="K15" s="153">
        <f>H15-J15+I15</f>
        <v>211230</v>
      </c>
      <c r="L15" s="163">
        <v>2.75</v>
      </c>
      <c r="M15" s="163">
        <v>998.52</v>
      </c>
      <c r="N15" s="163">
        <f>959.03+802.62+111.38+782.58+710.35+1218.75+724.79+588.58+573.22+541.33+536.97+501.4+507.48+29.15</f>
        <v>8587.6299999999992</v>
      </c>
      <c r="O15" s="163">
        <f>998.52+959.03+914+782.58+710.35+1218.75+724.79+588.58+573.22+541.33+536.97+501.4</f>
        <v>9049.52</v>
      </c>
      <c r="P15" s="163">
        <f>N15-O15+M15</f>
        <v>536.62999999999874</v>
      </c>
      <c r="Q15" s="163">
        <f>K15+P15</f>
        <v>211766.63</v>
      </c>
    </row>
    <row r="16" spans="1:17" ht="156">
      <c r="A16" s="146">
        <v>3</v>
      </c>
      <c r="B16" s="147" t="s">
        <v>24</v>
      </c>
      <c r="C16" s="148" t="s">
        <v>59</v>
      </c>
      <c r="D16" s="149" t="s">
        <v>32</v>
      </c>
      <c r="E16" s="159">
        <v>500000</v>
      </c>
      <c r="F16" s="160">
        <v>42819</v>
      </c>
      <c r="G16" s="164" t="s">
        <v>43</v>
      </c>
      <c r="H16" s="153">
        <v>374000</v>
      </c>
      <c r="I16" s="153"/>
      <c r="J16" s="153">
        <f>14000+14000+14000+8513+5487+14000+8513+8513+8513+8513+8513</f>
        <v>112565</v>
      </c>
      <c r="K16" s="153">
        <f>H16-J16+I16</f>
        <v>261435</v>
      </c>
      <c r="L16" s="163">
        <v>2.75</v>
      </c>
      <c r="M16" s="163">
        <v>890.7</v>
      </c>
      <c r="N16" s="163">
        <f>867.19+756.29+57.75+780.7+734.14+1133.48+623.38+710.03+693.99+657.62+656.15+615.93+625.36+30.43</f>
        <v>8942.44</v>
      </c>
      <c r="O16" s="163">
        <f>890.7+867.19+814.04+780.7+734.14+1133.48+623.38+710.03+693.99+657.62+656.15+615.93</f>
        <v>9177.35</v>
      </c>
      <c r="P16" s="163">
        <f>N16-O16+M16</f>
        <v>655.79000000000019</v>
      </c>
      <c r="Q16" s="163">
        <f>K16+P16</f>
        <v>262090.79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63"/>
    </row>
    <row r="18" spans="1:17" ht="18.75">
      <c r="A18" s="155" t="s">
        <v>15</v>
      </c>
      <c r="B18" s="156"/>
      <c r="C18" s="148"/>
      <c r="D18" s="149"/>
      <c r="E18" s="159">
        <f>E15+E16</f>
        <v>1280000</v>
      </c>
      <c r="F18" s="159"/>
      <c r="G18" s="159"/>
      <c r="H18" s="159">
        <f t="shared" ref="H18:Q18" si="0">H15+H16</f>
        <v>791000</v>
      </c>
      <c r="I18" s="159"/>
      <c r="J18" s="159">
        <f t="shared" si="0"/>
        <v>318335</v>
      </c>
      <c r="K18" s="159">
        <f t="shared" si="0"/>
        <v>472665</v>
      </c>
      <c r="L18" s="159"/>
      <c r="M18" s="159">
        <f t="shared" si="0"/>
        <v>1889.22</v>
      </c>
      <c r="N18" s="159">
        <f t="shared" si="0"/>
        <v>17530.07</v>
      </c>
      <c r="O18" s="159">
        <f t="shared" si="0"/>
        <v>18226.870000000003</v>
      </c>
      <c r="P18" s="159">
        <f t="shared" si="0"/>
        <v>1192.4199999999989</v>
      </c>
      <c r="Q18" s="159">
        <f t="shared" si="0"/>
        <v>473857.42000000004</v>
      </c>
    </row>
    <row r="19" spans="1:17" ht="18.75">
      <c r="A19" s="259" t="s">
        <v>21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20.25" thickBot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59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2" t="s">
        <v>17</v>
      </c>
      <c r="B28" s="263"/>
      <c r="C28" s="264"/>
      <c r="D28" s="264"/>
      <c r="E28" s="264"/>
      <c r="F28" s="265"/>
      <c r="G28" s="174"/>
      <c r="H28" s="175">
        <f>H18+H24</f>
        <v>791000</v>
      </c>
      <c r="I28" s="175">
        <f>I18+I24</f>
        <v>0</v>
      </c>
      <c r="J28" s="176">
        <f>J18+J24</f>
        <v>318335</v>
      </c>
      <c r="K28" s="176">
        <f>K18+K24</f>
        <v>472665</v>
      </c>
      <c r="L28" s="58"/>
      <c r="M28" s="176">
        <f>M18+M24</f>
        <v>1889.22</v>
      </c>
      <c r="N28" s="176">
        <f>N18+N24</f>
        <v>17530.07</v>
      </c>
      <c r="O28" s="176">
        <f>O18+O24</f>
        <v>18226.870000000003</v>
      </c>
      <c r="P28" s="176">
        <f>P18+P24</f>
        <v>1192.4199999999989</v>
      </c>
      <c r="Q28" s="176">
        <f>Q18+Q24</f>
        <v>473857.42000000004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55" t="s">
        <v>62</v>
      </c>
      <c r="C31" s="266"/>
      <c r="D31" s="266"/>
      <c r="E31" s="267"/>
      <c r="F31" s="268"/>
      <c r="G31" s="268"/>
      <c r="H31" s="269"/>
      <c r="I31" s="256"/>
      <c r="J31" s="256"/>
      <c r="K31" s="256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55" t="s">
        <v>75</v>
      </c>
      <c r="C34" s="256"/>
      <c r="D34" s="256"/>
      <c r="E34" s="256"/>
      <c r="F34" s="256"/>
      <c r="G34" s="256"/>
      <c r="H34" s="256"/>
      <c r="I34" s="256"/>
      <c r="J34" s="256"/>
      <c r="K34" s="256"/>
      <c r="L34" s="130"/>
      <c r="M34" s="130"/>
      <c r="N34" s="130"/>
      <c r="O34" s="130"/>
      <c r="P34" s="130"/>
      <c r="Q34" s="130"/>
    </row>
    <row r="36" spans="1:17">
      <c r="B36" t="s">
        <v>60</v>
      </c>
      <c r="J36" t="s">
        <v>61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" right="0.7" top="0.75" bottom="0.75" header="0.3" footer="0.3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60" zoomScaleNormal="100" workbookViewId="0">
      <selection activeCell="J29" sqref="J29"/>
    </sheetView>
  </sheetViews>
  <sheetFormatPr defaultRowHeight="12.75"/>
  <cols>
    <col min="1" max="1" width="1.140625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14.42578125" customWidth="1"/>
    <col min="15" max="15" width="14" customWidth="1"/>
    <col min="16" max="16" width="13.85546875" customWidth="1"/>
    <col min="17" max="17" width="16.85546875" customWidth="1"/>
  </cols>
  <sheetData>
    <row r="1" spans="1:17" ht="20.25">
      <c r="A1" s="247" t="s">
        <v>71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  <c r="P1" s="249"/>
      <c r="Q1" s="249"/>
    </row>
    <row r="2" spans="1:17" ht="20.25">
      <c r="A2" s="74"/>
      <c r="B2" s="75"/>
      <c r="C2" s="75"/>
      <c r="D2" s="276" t="s">
        <v>85</v>
      </c>
      <c r="E2" s="277"/>
      <c r="F2" s="277"/>
      <c r="G2" s="277"/>
      <c r="H2" s="277"/>
      <c r="I2" s="277"/>
      <c r="J2" s="277"/>
      <c r="K2" s="277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52" t="s">
        <v>22</v>
      </c>
      <c r="O3" s="252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53"/>
      <c r="G5" s="253"/>
      <c r="H5" s="253"/>
      <c r="I5" s="253"/>
      <c r="J5" s="253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6" t="s">
        <v>19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34" t="s">
        <v>20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>
        <v>2</v>
      </c>
      <c r="B16" s="91" t="s">
        <v>24</v>
      </c>
      <c r="C16" s="92" t="s">
        <v>64</v>
      </c>
      <c r="D16" s="93" t="s">
        <v>32</v>
      </c>
      <c r="E16" s="103">
        <v>500000</v>
      </c>
      <c r="F16" s="104">
        <v>42819</v>
      </c>
      <c r="G16" s="108" t="s">
        <v>43</v>
      </c>
      <c r="H16" s="97">
        <f>Лист2!H19+Лист3!H30+Лист4!H28+Лист5!H28+Лист6!H28</f>
        <v>3114000</v>
      </c>
      <c r="I16" s="97">
        <f>Лист2!I19+Лист3!I30+Лист4!I28+Лист5!I28+Лист6!I28</f>
        <v>2200000</v>
      </c>
      <c r="J16" s="97">
        <f>Лист2!J19+Лист3!J30+Лист4!J28+Лист5!J28+Лист6!J28</f>
        <v>1191335</v>
      </c>
      <c r="K16" s="97">
        <f>Лист2!K19+Лист3!K30+Лист4!K28+Лист5!K28+Лист6!K28</f>
        <v>4122665</v>
      </c>
      <c r="L16" s="97">
        <f>Лист2!L19+Лист3!L30+Лист4!L28+Лист5!L28+Лист6!L28</f>
        <v>0</v>
      </c>
      <c r="M16" s="107">
        <f>Лист2!M19+Лист3!M30+Лист4!M28+Лист5!M28+Лист6!M28</f>
        <v>20065.810000000001</v>
      </c>
      <c r="N16" s="107">
        <f>Лист2!N19+Лист3!N30+Лист4!N28+Лист5!N28+Лист6!N28</f>
        <v>85532.829999999987</v>
      </c>
      <c r="O16" s="107">
        <f>Лист2!O19+Лист3!O30+Лист4!O28+Лист5!O28+Лист6!O28</f>
        <v>97830.460000000021</v>
      </c>
      <c r="P16" s="107">
        <f>M16+N16-O16</f>
        <v>7768.1799999999639</v>
      </c>
      <c r="Q16" s="107">
        <f>K16+P16</f>
        <v>4130433.18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3114000</v>
      </c>
      <c r="I19" s="103">
        <f t="shared" si="0"/>
        <v>2200000</v>
      </c>
      <c r="J19" s="103">
        <f t="shared" si="0"/>
        <v>1191335</v>
      </c>
      <c r="K19" s="103">
        <f t="shared" si="0"/>
        <v>4122665</v>
      </c>
      <c r="L19" s="103">
        <f t="shared" si="0"/>
        <v>0</v>
      </c>
      <c r="M19" s="103">
        <f t="shared" si="0"/>
        <v>20065.810000000001</v>
      </c>
      <c r="N19" s="103">
        <f t="shared" si="0"/>
        <v>85532.829999999987</v>
      </c>
      <c r="O19" s="103">
        <f t="shared" si="0"/>
        <v>97830.460000000021</v>
      </c>
      <c r="P19" s="103">
        <f t="shared" si="0"/>
        <v>7768.1799999999639</v>
      </c>
      <c r="Q19" s="103">
        <f t="shared" si="0"/>
        <v>4130433.18</v>
      </c>
    </row>
    <row r="20" spans="1:17" ht="20.25">
      <c r="A20" s="236" t="s">
        <v>21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36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3114000</v>
      </c>
      <c r="I29" s="57">
        <f>I19+I25</f>
        <v>2200000</v>
      </c>
      <c r="J29" s="56">
        <f>J19+J25</f>
        <v>1191335</v>
      </c>
      <c r="K29" s="56">
        <f>K19+K25</f>
        <v>4122665</v>
      </c>
      <c r="L29" s="58"/>
      <c r="M29" s="56">
        <f>M19+M25</f>
        <v>20065.810000000001</v>
      </c>
      <c r="N29" s="56">
        <f>N19+N25</f>
        <v>85532.829999999987</v>
      </c>
      <c r="O29" s="56">
        <f>O19+O25</f>
        <v>97830.460000000021</v>
      </c>
      <c r="P29" s="56">
        <f>P19+P25</f>
        <v>7768.1799999999639</v>
      </c>
      <c r="Q29" s="56">
        <f>Q19+Q25</f>
        <v>4130433.18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2016-01-11T09:40:54Z</cp:lastPrinted>
  <dcterms:created xsi:type="dcterms:W3CDTF">2006-06-05T06:40:26Z</dcterms:created>
  <dcterms:modified xsi:type="dcterms:W3CDTF">2016-01-21T09:47:04Z</dcterms:modified>
</cp:coreProperties>
</file>