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/>
</workbook>
</file>

<file path=xl/calcChain.xml><?xml version="1.0" encoding="utf-8"?>
<calcChain xmlns="http://schemas.openxmlformats.org/spreadsheetml/2006/main">
  <c r="H41" i="1"/>
  <c r="N40"/>
  <c r="N39"/>
  <c r="N38"/>
  <c r="N36"/>
  <c r="N33"/>
  <c r="N31"/>
  <c r="N30"/>
  <c r="N28"/>
  <c r="N27"/>
  <c r="N16" i="3"/>
  <c r="N15" i="6"/>
  <c r="N18"/>
  <c r="N17"/>
  <c r="N16"/>
  <c r="N16" i="5"/>
  <c r="N15"/>
  <c r="N17" i="3"/>
  <c r="N20" i="2"/>
  <c r="N19"/>
  <c r="N18"/>
  <c r="N17"/>
  <c r="O17" i="3" l="1"/>
  <c r="O16"/>
  <c r="O16" i="5"/>
  <c r="O15"/>
  <c r="J15"/>
  <c r="E51" i="1"/>
  <c r="H51"/>
  <c r="O40"/>
  <c r="O39"/>
  <c r="O38"/>
  <c r="O36"/>
  <c r="O33"/>
  <c r="O32"/>
  <c r="O30"/>
  <c r="O28"/>
  <c r="O27"/>
  <c r="O49"/>
  <c r="O48"/>
  <c r="N49"/>
  <c r="N48"/>
  <c r="O50"/>
  <c r="N50"/>
  <c r="N32"/>
  <c r="J16" i="6" l="1"/>
  <c r="J15"/>
  <c r="O18" l="1"/>
  <c r="O17"/>
  <c r="O16"/>
  <c r="O15"/>
  <c r="O31" i="1"/>
  <c r="O26"/>
  <c r="M20" i="6"/>
  <c r="M31" i="2"/>
  <c r="M21"/>
  <c r="H18" i="5"/>
  <c r="H21" i="2"/>
  <c r="H20" i="6"/>
  <c r="N41" i="1"/>
  <c r="J41"/>
  <c r="E41"/>
  <c r="M41"/>
  <c r="P25"/>
  <c r="P27"/>
  <c r="P35"/>
  <c r="K35"/>
  <c r="P34"/>
  <c r="K34"/>
  <c r="P40"/>
  <c r="I41"/>
  <c r="K40"/>
  <c r="O41" l="1"/>
  <c r="P26"/>
  <c r="Q40"/>
  <c r="Q34"/>
  <c r="Q35"/>
  <c r="P39" l="1"/>
  <c r="K39"/>
  <c r="Q39" l="1"/>
  <c r="O20" i="6"/>
  <c r="P38" i="1"/>
  <c r="K38"/>
  <c r="Q38" l="1"/>
  <c r="J20" i="3"/>
  <c r="N20" i="6" l="1"/>
  <c r="P17"/>
  <c r="P18"/>
  <c r="P16" i="5"/>
  <c r="J21" i="2" l="1"/>
  <c r="I20" i="3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K18"/>
  <c r="Q18" s="1"/>
  <c r="K17"/>
  <c r="Q17" s="1"/>
  <c r="K16" i="5"/>
  <c r="Q16" s="1"/>
  <c r="K16" i="4"/>
  <c r="Q16" s="1"/>
  <c r="O20" i="3"/>
  <c r="N20"/>
  <c r="H20"/>
  <c r="K18" i="8" l="1"/>
  <c r="K28" s="1"/>
  <c r="K18" i="9"/>
  <c r="K28" s="1"/>
  <c r="I28" i="8"/>
  <c r="N28"/>
  <c r="Q28"/>
  <c r="P28"/>
  <c r="J28"/>
  <c r="O21" i="2"/>
  <c r="P20"/>
  <c r="N21"/>
  <c r="K20"/>
  <c r="I21"/>
  <c r="E21"/>
  <c r="Q20" l="1"/>
  <c r="P37" i="1"/>
  <c r="K37"/>
  <c r="P19" i="2"/>
  <c r="Q37" i="1" l="1"/>
  <c r="P50"/>
  <c r="P36"/>
  <c r="K36"/>
  <c r="K19" i="2"/>
  <c r="Q19" s="1"/>
  <c r="Q36" i="1" l="1"/>
  <c r="K50"/>
  <c r="Q50" s="1"/>
  <c r="I51"/>
  <c r="O51" l="1"/>
  <c r="N51"/>
  <c r="J51"/>
  <c r="P33" l="1"/>
  <c r="K33"/>
  <c r="Q33" l="1"/>
  <c r="L20" i="3" l="1"/>
  <c r="M20"/>
  <c r="P17" l="1"/>
  <c r="M30" l="1"/>
  <c r="P30" i="1" l="1"/>
  <c r="P31"/>
  <c r="P32"/>
  <c r="K18" i="2" l="1"/>
  <c r="K17" i="3"/>
  <c r="E20"/>
  <c r="P18" i="2"/>
  <c r="Q17" i="3" l="1"/>
  <c r="Q18" i="2"/>
  <c r="K32" i="1" l="1"/>
  <c r="Q32" s="1"/>
  <c r="K31"/>
  <c r="Q31" s="1"/>
  <c r="K30" l="1"/>
  <c r="Q30" s="1"/>
  <c r="P49"/>
  <c r="K49"/>
  <c r="P28"/>
  <c r="P41" s="1"/>
  <c r="Q49" l="1"/>
  <c r="K28" l="1"/>
  <c r="Q28" l="1"/>
  <c r="P48"/>
  <c r="K48"/>
  <c r="Q48" l="1"/>
  <c r="K27" l="1"/>
  <c r="Q27" l="1"/>
  <c r="L16" i="7" l="1"/>
  <c r="L19" s="1"/>
  <c r="Q25"/>
  <c r="P25"/>
  <c r="O25"/>
  <c r="N25"/>
  <c r="M25"/>
  <c r="K25"/>
  <c r="J25"/>
  <c r="I25"/>
  <c r="H25"/>
  <c r="E25"/>
  <c r="E19"/>
  <c r="K18"/>
  <c r="J20" i="6" l="1"/>
  <c r="M18" i="4" l="1"/>
  <c r="M28" s="1"/>
  <c r="N18"/>
  <c r="O18"/>
  <c r="P51" i="1" l="1"/>
  <c r="K26" l="1"/>
  <c r="Q26" l="1"/>
  <c r="K51"/>
  <c r="Q51" l="1"/>
  <c r="K16" i="6" l="1"/>
  <c r="L17" i="2" l="1"/>
  <c r="P16" i="3"/>
  <c r="P20" s="1"/>
  <c r="K15" i="6" l="1"/>
  <c r="K20" s="1"/>
  <c r="J18" i="5" l="1"/>
  <c r="L18"/>
  <c r="M18"/>
  <c r="M28" s="1"/>
  <c r="N18"/>
  <c r="O18"/>
  <c r="E18"/>
  <c r="K17" i="2"/>
  <c r="K21" s="1"/>
  <c r="M55" i="1"/>
  <c r="P16" i="6" l="1"/>
  <c r="P15" i="5"/>
  <c r="P18" s="1"/>
  <c r="K15"/>
  <c r="P15" i="4"/>
  <c r="P18" s="1"/>
  <c r="K18"/>
  <c r="K16" i="3"/>
  <c r="K20" s="1"/>
  <c r="P17" i="2"/>
  <c r="P21" s="1"/>
  <c r="Q16" i="6" l="1"/>
  <c r="Q15" i="5"/>
  <c r="Q18" s="1"/>
  <c r="Q15" i="4"/>
  <c r="Q18" s="1"/>
  <c r="Q16" i="3"/>
  <c r="Q20" s="1"/>
  <c r="K25" i="1"/>
  <c r="K41" s="1"/>
  <c r="Q25" l="1"/>
  <c r="P24" l="1"/>
  <c r="P15" i="6"/>
  <c r="P20" s="1"/>
  <c r="Q15" l="1"/>
  <c r="Q20" s="1"/>
  <c r="K24" i="1"/>
  <c r="Q24" s="1"/>
  <c r="P23" l="1"/>
  <c r="I55"/>
  <c r="K23"/>
  <c r="O31" i="2"/>
  <c r="K19" i="6"/>
  <c r="E26"/>
  <c r="H26"/>
  <c r="I26"/>
  <c r="J26"/>
  <c r="K26"/>
  <c r="M26"/>
  <c r="M30" s="1"/>
  <c r="N2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J26"/>
  <c r="J30" s="1"/>
  <c r="K26"/>
  <c r="M26"/>
  <c r="N26"/>
  <c r="O26"/>
  <c r="P26"/>
  <c r="Q26"/>
  <c r="Q17" i="2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44"/>
  <c r="P44"/>
  <c r="N28" i="5"/>
  <c r="N28" i="4"/>
  <c r="N31" i="2"/>
  <c r="O28" i="5"/>
  <c r="M16" i="7" l="1"/>
  <c r="M19" s="1"/>
  <c r="M29" s="1"/>
  <c r="K55" i="1"/>
  <c r="I30" i="6"/>
  <c r="J28" i="4"/>
  <c r="O28"/>
  <c r="P28" s="1"/>
  <c r="O30" i="6"/>
  <c r="P30"/>
  <c r="H28" i="4"/>
  <c r="I28"/>
  <c r="I16" i="7" s="1"/>
  <c r="K28" i="4"/>
  <c r="N30" i="6"/>
  <c r="K30"/>
  <c r="I28" i="5"/>
  <c r="N30" i="3"/>
  <c r="O30"/>
  <c r="K31" i="2"/>
  <c r="Q21"/>
  <c r="Q19" i="1"/>
  <c r="H55"/>
  <c r="Q20"/>
  <c r="Q16"/>
  <c r="Q44"/>
  <c r="K28" i="5"/>
  <c r="H30" i="6"/>
  <c r="H16" i="7" s="1"/>
  <c r="H19" s="1"/>
  <c r="H29" s="1"/>
  <c r="J30" i="6"/>
  <c r="P31" i="2"/>
  <c r="Q23" i="1"/>
  <c r="P28" i="5"/>
  <c r="J28"/>
  <c r="Q41" i="1"/>
  <c r="O55"/>
  <c r="J55"/>
  <c r="P30" i="3"/>
  <c r="Q30"/>
  <c r="I19" i="7" l="1"/>
  <c r="I29" s="1"/>
  <c r="J16"/>
  <c r="J19" s="1"/>
  <c r="J29" s="1"/>
  <c r="K16"/>
  <c r="K19" s="1"/>
  <c r="K29" s="1"/>
  <c r="N16"/>
  <c r="N19" s="1"/>
  <c r="N29" s="1"/>
  <c r="O16"/>
  <c r="O19" s="1"/>
  <c r="O29" s="1"/>
  <c r="Q28" i="4"/>
  <c r="Q31" i="2"/>
  <c r="Q30" i="6"/>
  <c r="Q28" i="5"/>
  <c r="N55" i="1"/>
  <c r="P16" i="7" l="1"/>
  <c r="P19" s="1"/>
  <c r="P29" s="1"/>
  <c r="P55" i="1"/>
  <c r="Q55"/>
  <c r="Q16" i="7" l="1"/>
  <c r="Q19" s="1"/>
  <c r="Q29" s="1"/>
</calcChain>
</file>

<file path=xl/sharedStrings.xml><?xml version="1.0" encoding="utf-8"?>
<sst xmlns="http://schemas.openxmlformats.org/spreadsheetml/2006/main" count="415" uniqueCount="106">
  <si>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</si>
  <si>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</si>
  <si>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</si>
  <si>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</si>
  <si>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</si>
  <si>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</si>
  <si>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</si>
  <si>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</si>
  <si>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</si>
  <si>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</si>
  <si>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</si>
  <si>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</si>
  <si>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</si>
  <si>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</si>
  <si>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</si>
  <si>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</si>
  <si>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</si>
  <si>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</si>
  <si>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</si>
  <si>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</si>
  <si>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</si>
  <si>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</si>
  <si>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</si>
  <si>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</si>
  <si>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</si>
  <si>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</si>
  <si>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</si>
  <si>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</si>
  <si>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</si>
  <si>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</si>
  <si>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</si>
  <si>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</si>
  <si>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</si>
  <si>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</si>
  <si>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</si>
  <si>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</si>
  <si>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</si>
  <si>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</si>
  <si>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</si>
  <si>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</si>
  <si>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</si>
  <si>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</si>
  <si>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</si>
  <si>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</si>
  <si>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</si>
  <si>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</si>
  <si>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</si>
  <si>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</si>
  <si>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</si>
  <si>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</si>
  <si>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</si>
  <si>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</si>
  <si>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</si>
  <si>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</si>
  <si>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</si>
  <si>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</si>
  <si>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</si>
  <si>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</si>
  <si>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</si>
  <si>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</si>
  <si>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</si>
  <si>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</si>
  <si>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 8-АПМР от 25.12.2013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</si>
  <si>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</si>
  <si>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</si>
  <si>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</si>
  <si>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</si>
  <si>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</si>
  <si>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</si>
  <si>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</si>
  <si>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</si>
  <si>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</si>
  <si>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</si>
  <si>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</si>
  <si>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</si>
  <si>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</si>
  <si>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</si>
  <si>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</si>
  <si>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</si>
  <si>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</si>
  <si>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</si>
  <si>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</si>
  <si>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</si>
  <si>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</si>
  <si>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</si>
  <si>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</si>
  <si>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</si>
  <si>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</si>
  <si>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Договор  N13-3/16 от  20.09.2016</t>
  </si>
  <si>
    <t>Договор №1 от 17.08.2016</t>
  </si>
  <si>
    <t>Договор №2 от 02.10.2016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</si>
  <si>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</si>
  <si>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</si>
  <si>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</si>
  <si>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</si>
  <si>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Муниципальная долговая книга Куганаволокского поселения</t>
  </si>
  <si>
    <t>Договор  N13-4/16 от  30.09.2016</t>
  </si>
  <si>
    <t>Договор  N13-5/16 от  19.12.2016</t>
  </si>
  <si>
    <t>Договор  N13-1/14р от  24.06.2016</t>
  </si>
  <si>
    <t>Договор  N13-2/15 р от  24.06.2016</t>
  </si>
  <si>
    <t>по состоянию на 01  февраля  2017 года</t>
  </si>
  <si>
    <t>Договор  N13-6/16 от  23.12.2016</t>
  </si>
  <si>
    <t>по состоянию на 01  апреля 2017 года</t>
  </si>
  <si>
    <t>по состоянию на 01  апреля   2017 года</t>
  </si>
  <si>
    <t>по состоянию на 01  апреля  2017 года</t>
  </si>
  <si>
    <t>по состоянию на 01 апреля 2017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</si>
</sst>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6" fillId="0" borderId="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view="pageBreakPreview" topLeftCell="D40" zoomScaleNormal="75" workbookViewId="0">
      <selection activeCell="A42" sqref="A42:M42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2.8554687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102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40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40" si="1">H20+I20-J20</f>
        <v>0</v>
      </c>
      <c r="L20" s="52"/>
      <c r="M20" s="50"/>
      <c r="N20" s="50"/>
      <c r="O20" s="50"/>
      <c r="P20" s="50">
        <f t="shared" ref="P20:P40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26.25" hidden="1" customHeight="1">
      <c r="A23" s="61"/>
      <c r="B23" s="62" t="s">
        <v>24</v>
      </c>
      <c r="C23" s="30" t="s">
        <v>44</v>
      </c>
      <c r="D23" s="31" t="s">
        <v>26</v>
      </c>
      <c r="E23" s="47">
        <v>2000000</v>
      </c>
      <c r="F23" s="48">
        <v>42333</v>
      </c>
      <c r="G23" s="51"/>
      <c r="H23" s="36">
        <v>0</v>
      </c>
      <c r="I23" s="36"/>
      <c r="J23" s="36">
        <v>0</v>
      </c>
      <c r="K23" s="36">
        <f t="shared" si="1"/>
        <v>0</v>
      </c>
      <c r="L23" s="183">
        <v>2.75</v>
      </c>
      <c r="M23" s="50">
        <v>0</v>
      </c>
      <c r="N23" s="50">
        <v>0</v>
      </c>
      <c r="O23" s="50">
        <v>0</v>
      </c>
      <c r="P23" s="50">
        <f t="shared" si="2"/>
        <v>0</v>
      </c>
      <c r="Q23" s="50">
        <f t="shared" si="0"/>
        <v>0</v>
      </c>
    </row>
    <row r="24" spans="1:17" s="3" customFormat="1" ht="30.75" hidden="1" customHeight="1">
      <c r="A24" s="61"/>
      <c r="B24" s="62" t="s">
        <v>24</v>
      </c>
      <c r="C24" s="30" t="s">
        <v>45</v>
      </c>
      <c r="D24" s="31" t="s">
        <v>26</v>
      </c>
      <c r="E24" s="47">
        <v>780000</v>
      </c>
      <c r="F24" s="48">
        <v>42210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customHeight="1">
      <c r="A25" s="61"/>
      <c r="B25" s="62" t="s">
        <v>24</v>
      </c>
      <c r="C25" s="30" t="s">
        <v>48</v>
      </c>
      <c r="D25" s="31" t="s">
        <v>26</v>
      </c>
      <c r="E25" s="47">
        <v>5000000</v>
      </c>
      <c r="F25" s="48">
        <v>42699</v>
      </c>
      <c r="G25" s="51"/>
      <c r="H25" s="36">
        <v>2100000</v>
      </c>
      <c r="I25" s="36"/>
      <c r="J25" s="36"/>
      <c r="K25" s="36">
        <f t="shared" si="1"/>
        <v>2100000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2100000</v>
      </c>
    </row>
    <row r="26" spans="1:17" s="3" customFormat="1" ht="30.75" customHeight="1">
      <c r="A26" s="61"/>
      <c r="B26" s="62" t="s">
        <v>24</v>
      </c>
      <c r="C26" s="30" t="s">
        <v>85</v>
      </c>
      <c r="D26" s="31" t="s">
        <v>26</v>
      </c>
      <c r="E26" s="47">
        <v>3000000</v>
      </c>
      <c r="F26" s="48">
        <v>43064</v>
      </c>
      <c r="G26" s="51"/>
      <c r="H26" s="36">
        <v>2350000</v>
      </c>
      <c r="I26" s="36"/>
      <c r="J26" s="36"/>
      <c r="K26" s="36">
        <f t="shared" si="1"/>
        <v>2350000</v>
      </c>
      <c r="L26" s="183">
        <v>2.75</v>
      </c>
      <c r="M26" s="50">
        <v>6634.13</v>
      </c>
      <c r="N26" s="50">
        <v>6652.3</v>
      </c>
      <c r="O26" s="50">
        <f>6634.13+6652.3</f>
        <v>13286.43</v>
      </c>
      <c r="P26" s="50">
        <f t="shared" si="2"/>
        <v>0</v>
      </c>
      <c r="Q26" s="50">
        <f t="shared" si="0"/>
        <v>2350000</v>
      </c>
    </row>
    <row r="27" spans="1:17" s="3" customFormat="1" ht="30.75" customHeight="1">
      <c r="A27" s="61"/>
      <c r="B27" s="62" t="s">
        <v>24</v>
      </c>
      <c r="C27" s="30" t="s">
        <v>67</v>
      </c>
      <c r="D27" s="31" t="s">
        <v>26</v>
      </c>
      <c r="E27" s="47">
        <v>10000000</v>
      </c>
      <c r="F27" s="48">
        <v>43271</v>
      </c>
      <c r="G27" s="51"/>
      <c r="H27" s="36">
        <v>10000000</v>
      </c>
      <c r="I27" s="36"/>
      <c r="J27" s="36"/>
      <c r="K27" s="36">
        <f t="shared" si="1"/>
        <v>10000000</v>
      </c>
      <c r="L27" s="183">
        <v>2.75</v>
      </c>
      <c r="M27" s="50">
        <v>28230.33</v>
      </c>
      <c r="N27" s="50">
        <f>28307.67+3025.81+9382.95</f>
        <v>40716.43</v>
      </c>
      <c r="O27" s="50">
        <f>28230.33+28307.67+3025.81</f>
        <v>59563.81</v>
      </c>
      <c r="P27" s="50">
        <f t="shared" si="2"/>
        <v>9382.9500000000044</v>
      </c>
      <c r="Q27" s="50">
        <f t="shared" si="0"/>
        <v>10009382.949999999</v>
      </c>
    </row>
    <row r="28" spans="1:17" s="3" customFormat="1" ht="26.25" customHeight="1">
      <c r="A28" s="61"/>
      <c r="B28" s="62" t="s">
        <v>24</v>
      </c>
      <c r="C28" s="30" t="s">
        <v>74</v>
      </c>
      <c r="D28" s="31" t="s">
        <v>26</v>
      </c>
      <c r="E28" s="47">
        <v>7000000</v>
      </c>
      <c r="F28" s="48">
        <v>43393</v>
      </c>
      <c r="G28" s="51"/>
      <c r="H28" s="36">
        <v>5446000</v>
      </c>
      <c r="I28" s="36"/>
      <c r="J28" s="36"/>
      <c r="K28" s="36">
        <f t="shared" si="1"/>
        <v>5446000</v>
      </c>
      <c r="L28" s="183">
        <v>2.75</v>
      </c>
      <c r="M28" s="50">
        <v>15374.24</v>
      </c>
      <c r="N28" s="50">
        <f>15416.36+9870.07+11971.16</f>
        <v>37257.589999999997</v>
      </c>
      <c r="O28" s="50">
        <f>15374.24+15416.36+9870.07</f>
        <v>40660.67</v>
      </c>
      <c r="P28" s="50">
        <f t="shared" si="2"/>
        <v>11971.159999999998</v>
      </c>
      <c r="Q28" s="50">
        <f t="shared" si="0"/>
        <v>5457971.1600000001</v>
      </c>
    </row>
    <row r="29" spans="1:17" s="3" customFormat="1" ht="29.25" hidden="1" customHeight="1">
      <c r="A29" s="61"/>
      <c r="B29" s="62" t="s">
        <v>24</v>
      </c>
      <c r="C29" s="30" t="s">
        <v>75</v>
      </c>
      <c r="D29" s="31"/>
      <c r="E29" s="47"/>
      <c r="F29" s="48"/>
      <c r="G29" s="51"/>
      <c r="H29" s="36"/>
      <c r="I29" s="36"/>
      <c r="J29" s="36"/>
      <c r="K29" s="36"/>
      <c r="L29" s="183"/>
      <c r="M29" s="50"/>
      <c r="N29" s="50"/>
      <c r="O29" s="50"/>
      <c r="P29" s="50"/>
      <c r="Q29" s="50"/>
    </row>
    <row r="30" spans="1:17" s="3" customFormat="1" ht="30.75" customHeight="1">
      <c r="A30" s="61"/>
      <c r="B30" s="62" t="s">
        <v>24</v>
      </c>
      <c r="C30" s="30" t="s">
        <v>81</v>
      </c>
      <c r="D30" s="31" t="s">
        <v>26</v>
      </c>
      <c r="E30" s="47">
        <v>3000000</v>
      </c>
      <c r="F30" s="48">
        <v>43449</v>
      </c>
      <c r="G30" s="51"/>
      <c r="H30" s="36">
        <v>3000000</v>
      </c>
      <c r="I30" s="36"/>
      <c r="J30" s="36"/>
      <c r="K30" s="36">
        <f t="shared" si="1"/>
        <v>3000000</v>
      </c>
      <c r="L30" s="183">
        <v>2.75</v>
      </c>
      <c r="M30" s="50">
        <v>8469.1</v>
      </c>
      <c r="N30" s="50">
        <f>8492.3+2602.48+4229.1</f>
        <v>15323.88</v>
      </c>
      <c r="O30" s="50">
        <f>8469.1+8492.3+2602.48</f>
        <v>19563.88</v>
      </c>
      <c r="P30" s="50">
        <f t="shared" si="2"/>
        <v>4229.0999999999985</v>
      </c>
      <c r="Q30" s="50">
        <f t="shared" si="0"/>
        <v>3004229.1</v>
      </c>
    </row>
    <row r="31" spans="1:17" s="3" customFormat="1" ht="30.75" customHeight="1">
      <c r="A31" s="61"/>
      <c r="B31" s="62" t="s">
        <v>24</v>
      </c>
      <c r="C31" s="30" t="s">
        <v>79</v>
      </c>
      <c r="D31" s="31" t="s">
        <v>26</v>
      </c>
      <c r="E31" s="47">
        <v>8900000</v>
      </c>
      <c r="F31" s="48">
        <v>43455</v>
      </c>
      <c r="G31" s="51"/>
      <c r="H31" s="36">
        <v>8900000</v>
      </c>
      <c r="I31" s="36"/>
      <c r="J31" s="36"/>
      <c r="K31" s="36">
        <f t="shared" si="1"/>
        <v>8900000</v>
      </c>
      <c r="L31" s="183">
        <v>2.75</v>
      </c>
      <c r="M31" s="50">
        <v>25124.99</v>
      </c>
      <c r="N31" s="50">
        <f>25193.83+25092.64</f>
        <v>50286.47</v>
      </c>
      <c r="O31" s="50">
        <f>25124.99+25193.83</f>
        <v>50318.820000000007</v>
      </c>
      <c r="P31" s="50">
        <f t="shared" si="2"/>
        <v>25092.639999999996</v>
      </c>
      <c r="Q31" s="50">
        <f t="shared" si="0"/>
        <v>8925092.6400000006</v>
      </c>
    </row>
    <row r="32" spans="1:17" s="3" customFormat="1" ht="30.75" customHeight="1">
      <c r="A32" s="61"/>
      <c r="B32" s="62" t="s">
        <v>24</v>
      </c>
      <c r="C32" s="30" t="s">
        <v>80</v>
      </c>
      <c r="D32" s="31" t="s">
        <v>26</v>
      </c>
      <c r="E32" s="47">
        <v>4000000</v>
      </c>
      <c r="F32" s="48">
        <v>42729</v>
      </c>
      <c r="G32" s="51"/>
      <c r="H32" s="36">
        <v>3000000</v>
      </c>
      <c r="I32" s="36"/>
      <c r="J32" s="36"/>
      <c r="K32" s="36">
        <f t="shared" si="1"/>
        <v>3000000</v>
      </c>
      <c r="L32" s="183">
        <v>2.75</v>
      </c>
      <c r="M32" s="50">
        <v>8469.1</v>
      </c>
      <c r="N32" s="50">
        <f>8492.3+22755.72</f>
        <v>31248.02</v>
      </c>
      <c r="O32" s="50">
        <f>8469.1+8492.3+22755.72</f>
        <v>39717.120000000003</v>
      </c>
      <c r="P32" s="50">
        <f t="shared" si="2"/>
        <v>0</v>
      </c>
      <c r="Q32" s="50">
        <f t="shared" si="0"/>
        <v>3000000</v>
      </c>
    </row>
    <row r="33" spans="1:17" s="3" customFormat="1" ht="30.75" customHeight="1">
      <c r="A33" s="61"/>
      <c r="B33" s="62" t="s">
        <v>24</v>
      </c>
      <c r="C33" s="30" t="s">
        <v>86</v>
      </c>
      <c r="D33" s="31" t="s">
        <v>26</v>
      </c>
      <c r="E33" s="47">
        <v>5000000</v>
      </c>
      <c r="F33" s="48">
        <v>43605</v>
      </c>
      <c r="G33" s="51"/>
      <c r="H33" s="36">
        <v>5000000</v>
      </c>
      <c r="I33" s="36"/>
      <c r="J33" s="36"/>
      <c r="K33" s="36">
        <f t="shared" si="1"/>
        <v>5000000</v>
      </c>
      <c r="L33" s="183">
        <v>2.75</v>
      </c>
      <c r="M33" s="50">
        <v>14115.16</v>
      </c>
      <c r="N33" s="50">
        <f>14153.84+12784.11+14096.99</f>
        <v>41034.94</v>
      </c>
      <c r="O33" s="50">
        <f>14115.16+14153.84+12784.11</f>
        <v>41053.11</v>
      </c>
      <c r="P33" s="50">
        <f t="shared" si="2"/>
        <v>14096.990000000002</v>
      </c>
      <c r="Q33" s="50">
        <f t="shared" si="0"/>
        <v>5014096.99</v>
      </c>
    </row>
    <row r="34" spans="1:17" s="3" customFormat="1" ht="30.75" customHeight="1">
      <c r="A34" s="61"/>
      <c r="B34" s="62" t="s">
        <v>24</v>
      </c>
      <c r="C34" s="30" t="s">
        <v>98</v>
      </c>
      <c r="D34" s="31" t="s">
        <v>26</v>
      </c>
      <c r="E34" s="47">
        <v>350000</v>
      </c>
      <c r="F34" s="48"/>
      <c r="G34" s="51"/>
      <c r="H34" s="36">
        <v>350000</v>
      </c>
      <c r="I34" s="36"/>
      <c r="J34" s="36"/>
      <c r="K34" s="36">
        <f t="shared" si="1"/>
        <v>350000</v>
      </c>
      <c r="L34" s="183">
        <v>2.75</v>
      </c>
      <c r="M34" s="50"/>
      <c r="N34" s="50">
        <v>0</v>
      </c>
      <c r="O34" s="50">
        <v>0</v>
      </c>
      <c r="P34" s="50">
        <f t="shared" si="2"/>
        <v>0</v>
      </c>
      <c r="Q34" s="50">
        <f t="shared" si="0"/>
        <v>350000</v>
      </c>
    </row>
    <row r="35" spans="1:17" s="3" customFormat="1" ht="30.75" customHeight="1">
      <c r="A35" s="61"/>
      <c r="B35" s="62" t="s">
        <v>24</v>
      </c>
      <c r="C35" s="30" t="s">
        <v>99</v>
      </c>
      <c r="D35" s="31" t="s">
        <v>26</v>
      </c>
      <c r="E35" s="47">
        <v>1554000</v>
      </c>
      <c r="F35" s="48"/>
      <c r="G35" s="51"/>
      <c r="H35" s="36">
        <v>1554000</v>
      </c>
      <c r="I35" s="36"/>
      <c r="J35" s="36"/>
      <c r="K35" s="36">
        <f t="shared" si="1"/>
        <v>1554000</v>
      </c>
      <c r="L35" s="183">
        <v>2.75</v>
      </c>
      <c r="M35" s="50"/>
      <c r="N35" s="50">
        <v>0</v>
      </c>
      <c r="O35" s="50">
        <v>0</v>
      </c>
      <c r="P35" s="50">
        <f t="shared" si="2"/>
        <v>0</v>
      </c>
      <c r="Q35" s="50">
        <f t="shared" si="0"/>
        <v>1554000</v>
      </c>
    </row>
    <row r="36" spans="1:17" s="3" customFormat="1" ht="30.75" customHeight="1">
      <c r="A36" s="61"/>
      <c r="B36" s="62" t="s">
        <v>24</v>
      </c>
      <c r="C36" s="30" t="s">
        <v>87</v>
      </c>
      <c r="D36" s="31" t="s">
        <v>26</v>
      </c>
      <c r="E36" s="47">
        <v>17160000</v>
      </c>
      <c r="F36" s="48">
        <v>43671</v>
      </c>
      <c r="G36" s="51"/>
      <c r="H36" s="36">
        <v>17160000</v>
      </c>
      <c r="I36" s="36"/>
      <c r="J36" s="36"/>
      <c r="K36" s="36">
        <f t="shared" si="1"/>
        <v>17160000</v>
      </c>
      <c r="L36" s="183">
        <v>2.75</v>
      </c>
      <c r="M36" s="50">
        <v>48443.24</v>
      </c>
      <c r="N36" s="50">
        <f>48575.96+39313.87+44574.67</f>
        <v>132464.5</v>
      </c>
      <c r="O36" s="50">
        <f>48443.24+48575.96+39313.87</f>
        <v>136333.07</v>
      </c>
      <c r="P36" s="50">
        <f t="shared" si="2"/>
        <v>44574.669999999991</v>
      </c>
      <c r="Q36" s="50">
        <f t="shared" si="0"/>
        <v>17204574.670000002</v>
      </c>
    </row>
    <row r="37" spans="1:17" s="3" customFormat="1" ht="30.75" customHeight="1">
      <c r="A37" s="61"/>
      <c r="B37" s="62" t="s">
        <v>24</v>
      </c>
      <c r="C37" s="30" t="s">
        <v>88</v>
      </c>
      <c r="D37" s="31" t="s">
        <v>26</v>
      </c>
      <c r="E37" s="47"/>
      <c r="F37" s="48">
        <v>42724</v>
      </c>
      <c r="G37" s="51"/>
      <c r="H37" s="36"/>
      <c r="I37" s="36"/>
      <c r="J37" s="36"/>
      <c r="K37" s="36">
        <f t="shared" si="1"/>
        <v>0</v>
      </c>
      <c r="L37" s="183">
        <v>2.75</v>
      </c>
      <c r="M37" s="50">
        <v>13841.97</v>
      </c>
      <c r="N37" s="50">
        <v>0</v>
      </c>
      <c r="O37" s="50">
        <v>13841.97</v>
      </c>
      <c r="P37" s="50">
        <f t="shared" si="2"/>
        <v>0</v>
      </c>
      <c r="Q37" s="50">
        <f t="shared" si="0"/>
        <v>0</v>
      </c>
    </row>
    <row r="38" spans="1:17" s="3" customFormat="1" ht="30.75" customHeight="1">
      <c r="A38" s="61"/>
      <c r="B38" s="62" t="s">
        <v>24</v>
      </c>
      <c r="C38" s="30" t="s">
        <v>96</v>
      </c>
      <c r="D38" s="31" t="s">
        <v>26</v>
      </c>
      <c r="E38" s="47">
        <v>3575000</v>
      </c>
      <c r="F38" s="48">
        <v>43733</v>
      </c>
      <c r="G38" s="51"/>
      <c r="H38" s="36">
        <v>3575000</v>
      </c>
      <c r="I38" s="36"/>
      <c r="J38" s="36"/>
      <c r="K38" s="36">
        <f t="shared" si="1"/>
        <v>3575000</v>
      </c>
      <c r="L38" s="183">
        <v>2.75</v>
      </c>
      <c r="M38" s="50">
        <v>10092.34</v>
      </c>
      <c r="N38" s="50">
        <f>10119.99+9140.64+10079.35</f>
        <v>29339.979999999996</v>
      </c>
      <c r="O38" s="50">
        <f>10092.34+10119.99+9140.64</f>
        <v>29352.97</v>
      </c>
      <c r="P38" s="50">
        <f t="shared" si="2"/>
        <v>10079.349999999995</v>
      </c>
      <c r="Q38" s="50">
        <f t="shared" si="0"/>
        <v>3585079.35</v>
      </c>
    </row>
    <row r="39" spans="1:17" s="3" customFormat="1" ht="24.75" customHeight="1">
      <c r="A39" s="61"/>
      <c r="B39" s="62" t="s">
        <v>24</v>
      </c>
      <c r="C39" s="30" t="s">
        <v>97</v>
      </c>
      <c r="D39" s="31" t="s">
        <v>26</v>
      </c>
      <c r="E39" s="47">
        <v>15000000</v>
      </c>
      <c r="F39" s="48">
        <v>43818</v>
      </c>
      <c r="G39" s="51"/>
      <c r="H39" s="36">
        <v>15000000</v>
      </c>
      <c r="I39" s="36"/>
      <c r="J39" s="36"/>
      <c r="K39" s="36">
        <f t="shared" si="1"/>
        <v>15000000</v>
      </c>
      <c r="L39" s="183">
        <v>2.75</v>
      </c>
      <c r="M39" s="50">
        <v>17757.79</v>
      </c>
      <c r="N39" s="50">
        <f>42461.51+21459.04+28193.97</f>
        <v>92114.52</v>
      </c>
      <c r="O39" s="50">
        <f>17757.79+42461.51+21459.04</f>
        <v>81678.34</v>
      </c>
      <c r="P39" s="50">
        <f t="shared" si="2"/>
        <v>28193.970000000008</v>
      </c>
      <c r="Q39" s="50">
        <f t="shared" si="0"/>
        <v>15028193.970000001</v>
      </c>
    </row>
    <row r="40" spans="1:17" s="3" customFormat="1" ht="24" customHeight="1">
      <c r="A40" s="61"/>
      <c r="B40" s="62"/>
      <c r="C40" s="30" t="s">
        <v>101</v>
      </c>
      <c r="D40" s="31" t="s">
        <v>26</v>
      </c>
      <c r="E40" s="47">
        <v>5000000</v>
      </c>
      <c r="F40" s="48">
        <v>43822</v>
      </c>
      <c r="G40" s="51"/>
      <c r="H40" s="36">
        <v>5000000</v>
      </c>
      <c r="I40" s="36"/>
      <c r="J40" s="36"/>
      <c r="K40" s="36">
        <f t="shared" si="1"/>
        <v>5000000</v>
      </c>
      <c r="L40" s="183">
        <v>2.75</v>
      </c>
      <c r="M40" s="50">
        <v>2731.97</v>
      </c>
      <c r="N40" s="50">
        <f>14153.84+8162.11+10240.05</f>
        <v>32556</v>
      </c>
      <c r="O40" s="50">
        <f>2731.97+14153.84+8162.11</f>
        <v>25047.920000000002</v>
      </c>
      <c r="P40" s="50">
        <f t="shared" si="2"/>
        <v>10240.049999999997</v>
      </c>
      <c r="Q40" s="50">
        <f t="shared" si="0"/>
        <v>5010240.05</v>
      </c>
    </row>
    <row r="41" spans="1:17" s="3" customFormat="1" ht="18.75" customHeight="1">
      <c r="A41" s="44" t="s">
        <v>15</v>
      </c>
      <c r="B41" s="45"/>
      <c r="C41" s="30"/>
      <c r="D41" s="31"/>
      <c r="E41" s="47">
        <f>E21+E22+E23+E24+E25+E28+E29+E30+E31+E32+E33+E36+E37+E38+E39+E40</f>
        <v>76415000</v>
      </c>
      <c r="F41" s="47"/>
      <c r="G41" s="47"/>
      <c r="H41" s="47">
        <f>H21+H22+H23+H24+H25+H26+H27+H28+H29+H30+H31+H32+H33+H34+H35+H36+H38+H39+H40</f>
        <v>82435000</v>
      </c>
      <c r="I41" s="47">
        <f>I33+I36+I37+I38+I39+I40</f>
        <v>0</v>
      </c>
      <c r="J41" s="47">
        <f>J21+J22+J23+J24+J25+J26+J27+J28+J29+J30+J31+J32+J37+J34+J35</f>
        <v>0</v>
      </c>
      <c r="K41" s="47">
        <f>K21+K22+K23+K24+K25+K26+K27+K28+K29+K30+K31+K32+K33+K36+K37+K38+K39+K40+K34+K35</f>
        <v>82435000</v>
      </c>
      <c r="L41" s="47"/>
      <c r="M41" s="47">
        <f>M21+M22+M23+M24+M25+M26+M27+M28+M29+M30+M31+M32+M33+M36+M37+M38+M39+M40</f>
        <v>199284.36000000002</v>
      </c>
      <c r="N41" s="47">
        <f>N21+N22+N23+N24+N25+N26+N27+N28+N29+N30+N31+N32+N33+N36+N37+N38+N39+N40+N34+N35</f>
        <v>508994.63</v>
      </c>
      <c r="O41" s="47">
        <f>O23+O24+O25+O26+O27+O28+O29+O30+O31+O32+O33+O36+O37+O38+O39+O40+O34+O35</f>
        <v>550418.11</v>
      </c>
      <c r="P41" s="47">
        <f>P21+P22+P23+P24+P25+P26+P27+P28+P29+P30+P31+P32+P33+P36+P37+P38+P39+P40</f>
        <v>157860.87999999998</v>
      </c>
      <c r="Q41" s="186">
        <f>K41+P41</f>
        <v>82592860.879999995</v>
      </c>
    </row>
    <row r="42" spans="1:17" s="3" customFormat="1" ht="17.25" customHeight="1">
      <c r="A42" s="222" t="s">
        <v>21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08"/>
      <c r="Q42" s="207"/>
    </row>
    <row r="43" spans="1:17" s="3" customFormat="1" ht="48.75" hidden="1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Q43" s="40"/>
    </row>
    <row r="44" spans="1:17" s="3" customFormat="1" ht="0.75" hidden="1" customHeight="1">
      <c r="A44" s="67"/>
      <c r="B44" s="202" t="s">
        <v>34</v>
      </c>
      <c r="C44" s="203" t="s">
        <v>30</v>
      </c>
      <c r="D44" s="31" t="s">
        <v>31</v>
      </c>
      <c r="E44" s="32">
        <v>3200000</v>
      </c>
      <c r="F44" s="48">
        <v>40619</v>
      </c>
      <c r="G44" s="34"/>
      <c r="H44" s="35"/>
      <c r="I44" s="36"/>
      <c r="J44" s="69"/>
      <c r="K44" s="50">
        <f>H44-J44</f>
        <v>0</v>
      </c>
      <c r="L44" s="36">
        <v>16</v>
      </c>
      <c r="M44" s="36"/>
      <c r="N44" s="50"/>
      <c r="O44" s="50"/>
      <c r="P44" s="47">
        <f>N44-O44</f>
        <v>0</v>
      </c>
      <c r="Q44" s="50">
        <f>K44+P44</f>
        <v>0</v>
      </c>
    </row>
    <row r="45" spans="1:17" s="3" customFormat="1" ht="36.75" hidden="1" customHeight="1">
      <c r="A45" s="28"/>
      <c r="B45" s="204" t="s">
        <v>34</v>
      </c>
      <c r="C45" s="30" t="s">
        <v>65</v>
      </c>
      <c r="D45" s="31"/>
      <c r="E45" s="32"/>
      <c r="F45" s="48"/>
      <c r="G45" s="34"/>
      <c r="H45" s="35"/>
      <c r="I45" s="36"/>
      <c r="J45" s="69"/>
      <c r="K45" s="36"/>
      <c r="L45" s="36"/>
      <c r="M45" s="36"/>
      <c r="N45" s="50"/>
      <c r="O45" s="50"/>
      <c r="P45" s="47"/>
      <c r="Q45" s="50"/>
    </row>
    <row r="46" spans="1:17" s="3" customFormat="1" ht="41.25" hidden="1" customHeight="1">
      <c r="A46" s="28"/>
      <c r="B46" s="204" t="s">
        <v>37</v>
      </c>
      <c r="C46" s="30" t="s">
        <v>47</v>
      </c>
      <c r="D46" s="31"/>
      <c r="E46" s="32"/>
      <c r="F46" s="48"/>
      <c r="G46" s="34"/>
      <c r="H46" s="35"/>
      <c r="I46" s="36"/>
      <c r="J46" s="69"/>
      <c r="K46" s="50"/>
      <c r="L46" s="50"/>
      <c r="M46" s="36"/>
      <c r="N46" s="50"/>
      <c r="O46" s="50"/>
      <c r="P46" s="47"/>
      <c r="Q46" s="50"/>
    </row>
    <row r="47" spans="1:17" s="3" customFormat="1" ht="0.75" hidden="1" customHeight="1">
      <c r="A47" s="28"/>
      <c r="B47" s="204" t="s">
        <v>37</v>
      </c>
      <c r="C47" s="30" t="s">
        <v>63</v>
      </c>
      <c r="D47" s="31"/>
      <c r="E47" s="32"/>
      <c r="F47" s="48"/>
      <c r="G47" s="34"/>
      <c r="H47" s="35"/>
      <c r="I47" s="36"/>
      <c r="J47" s="69"/>
      <c r="K47" s="50"/>
      <c r="L47" s="50"/>
      <c r="M47" s="36"/>
      <c r="N47" s="50"/>
      <c r="O47" s="50"/>
      <c r="P47" s="47"/>
      <c r="Q47" s="50"/>
    </row>
    <row r="48" spans="1:17" s="3" customFormat="1" ht="39.75" customHeight="1">
      <c r="A48" s="28"/>
      <c r="B48" s="204" t="s">
        <v>37</v>
      </c>
      <c r="C48" s="30" t="s">
        <v>68</v>
      </c>
      <c r="D48" s="31" t="s">
        <v>64</v>
      </c>
      <c r="E48" s="32">
        <v>11000000</v>
      </c>
      <c r="F48" s="48">
        <v>42944</v>
      </c>
      <c r="G48" s="34"/>
      <c r="H48" s="35">
        <v>10000000</v>
      </c>
      <c r="I48" s="36">
        <v>0</v>
      </c>
      <c r="J48" s="69">
        <v>10000000</v>
      </c>
      <c r="K48" s="50">
        <f>I48-J48+H48</f>
        <v>0</v>
      </c>
      <c r="L48" s="50">
        <v>15.8</v>
      </c>
      <c r="M48" s="36"/>
      <c r="N48" s="50">
        <f>134191.78+121205.48+12986.3</f>
        <v>268383.56</v>
      </c>
      <c r="O48" s="50">
        <f>134191.78+121205.48+12986.3</f>
        <v>268383.56</v>
      </c>
      <c r="P48" s="47">
        <f>N48-O48</f>
        <v>0</v>
      </c>
      <c r="Q48" s="50">
        <f>K48+P48</f>
        <v>0</v>
      </c>
    </row>
    <row r="49" spans="1:17" s="3" customFormat="1" ht="45" customHeight="1">
      <c r="A49" s="205"/>
      <c r="B49" s="204" t="s">
        <v>37</v>
      </c>
      <c r="C49" s="30" t="s">
        <v>76</v>
      </c>
      <c r="D49" s="31" t="s">
        <v>64</v>
      </c>
      <c r="E49" s="32">
        <v>8000000</v>
      </c>
      <c r="F49" s="48">
        <v>43075</v>
      </c>
      <c r="G49" s="34"/>
      <c r="H49" s="35">
        <v>8000000</v>
      </c>
      <c r="I49" s="36">
        <v>0</v>
      </c>
      <c r="J49" s="69">
        <v>8000000</v>
      </c>
      <c r="K49" s="50">
        <f>I49-J49+H49</f>
        <v>0</v>
      </c>
      <c r="L49" s="50">
        <v>13.47</v>
      </c>
      <c r="M49" s="36"/>
      <c r="N49" s="50">
        <f>91540.54+82681.78+8858.76</f>
        <v>183081.08000000002</v>
      </c>
      <c r="O49" s="50">
        <f>91540.54+82681.78+8858.76</f>
        <v>183081.08000000002</v>
      </c>
      <c r="P49" s="47">
        <f>N49-O49</f>
        <v>0</v>
      </c>
      <c r="Q49" s="50">
        <f>K49+P49</f>
        <v>0</v>
      </c>
    </row>
    <row r="50" spans="1:17" s="3" customFormat="1" ht="45" customHeight="1">
      <c r="A50" s="205"/>
      <c r="B50" s="206"/>
      <c r="C50" s="30" t="s">
        <v>84</v>
      </c>
      <c r="D50" s="31" t="s">
        <v>83</v>
      </c>
      <c r="E50" s="32">
        <v>10000000</v>
      </c>
      <c r="F50" s="48">
        <v>43283</v>
      </c>
      <c r="G50" s="34"/>
      <c r="H50" s="35">
        <v>10000000</v>
      </c>
      <c r="I50" s="36">
        <v>0</v>
      </c>
      <c r="J50" s="69">
        <v>10000000</v>
      </c>
      <c r="K50" s="50">
        <f>I50-J50+H50</f>
        <v>0</v>
      </c>
      <c r="L50" s="50">
        <v>16.03</v>
      </c>
      <c r="M50" s="36"/>
      <c r="N50" s="50">
        <f>136145.21+122969.86+4391.78</f>
        <v>263506.85000000003</v>
      </c>
      <c r="O50" s="50">
        <f>136145.21+122969.86+4391.78</f>
        <v>263506.85000000003</v>
      </c>
      <c r="P50" s="47">
        <f>N50-O50</f>
        <v>0</v>
      </c>
      <c r="Q50" s="50">
        <f>K50+P50</f>
        <v>0</v>
      </c>
    </row>
    <row r="51" spans="1:17" s="3" customFormat="1" ht="15" customHeight="1">
      <c r="A51" s="68" t="s">
        <v>15</v>
      </c>
      <c r="B51" s="45"/>
      <c r="C51" s="30"/>
      <c r="D51" s="31"/>
      <c r="E51" s="32">
        <f>E46+E47+E47+E48+E49+E50</f>
        <v>29000000</v>
      </c>
      <c r="F51" s="32"/>
      <c r="G51" s="32"/>
      <c r="H51" s="200">
        <f>H46+H47+H48+H49+H50</f>
        <v>28000000</v>
      </c>
      <c r="I51" s="200">
        <f>I46+I47+I48+I49+I50</f>
        <v>0</v>
      </c>
      <c r="J51" s="47">
        <f>J46+J47+J48+J49+J50</f>
        <v>28000000</v>
      </c>
      <c r="K51" s="47">
        <f>K46+K47+K48+K49+K50</f>
        <v>0</v>
      </c>
      <c r="L51" s="32"/>
      <c r="M51" s="32"/>
      <c r="N51" s="47">
        <f>N46+N47+N45+N48+N49+N50</f>
        <v>714971.49</v>
      </c>
      <c r="O51" s="47">
        <f>O46+O47+O45+O48+O49+O50</f>
        <v>714971.49</v>
      </c>
      <c r="P51" s="47">
        <f>P46+P47+P45+P48+P49</f>
        <v>0</v>
      </c>
      <c r="Q51" s="47">
        <f>Q46+Q47+Q48+Q49+Q50</f>
        <v>0</v>
      </c>
    </row>
    <row r="52" spans="1:17" s="3" customFormat="1" ht="10.5" customHeight="1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Q52" s="40"/>
    </row>
    <row r="53" spans="1:17" s="3" customFormat="1" ht="10.5" customHeight="1">
      <c r="A53" s="28"/>
      <c r="B53" s="29"/>
      <c r="C53" s="30"/>
      <c r="D53" s="31"/>
      <c r="E53" s="32"/>
      <c r="F53" s="33"/>
      <c r="G53" s="34"/>
      <c r="H53" s="35"/>
      <c r="I53" s="36"/>
      <c r="J53" s="37"/>
      <c r="K53" s="36"/>
      <c r="L53" s="36"/>
      <c r="M53" s="36"/>
      <c r="N53" s="36"/>
      <c r="O53" s="36"/>
      <c r="P53" s="36"/>
      <c r="Q53" s="36"/>
    </row>
    <row r="54" spans="1:17" s="3" customFormat="1" ht="12.75" customHeight="1">
      <c r="A54" s="44" t="s">
        <v>15</v>
      </c>
      <c r="B54" s="45"/>
      <c r="C54" s="30"/>
      <c r="D54" s="31"/>
      <c r="E54" s="32"/>
      <c r="F54" s="33"/>
      <c r="G54" s="34"/>
      <c r="H54" s="35"/>
      <c r="I54" s="36"/>
      <c r="J54" s="37"/>
      <c r="K54" s="36"/>
      <c r="L54" s="36"/>
      <c r="M54" s="36"/>
      <c r="N54" s="36"/>
      <c r="O54" s="36"/>
      <c r="P54" s="36"/>
      <c r="Q54" s="36"/>
    </row>
    <row r="55" spans="1:17" s="24" customFormat="1" ht="23.25" customHeight="1">
      <c r="A55" s="224" t="s">
        <v>17</v>
      </c>
      <c r="B55" s="225"/>
      <c r="C55" s="226"/>
      <c r="D55" s="226"/>
      <c r="E55" s="226"/>
      <c r="F55" s="227"/>
      <c r="G55" s="23"/>
      <c r="H55" s="57">
        <f>H41+H51</f>
        <v>110435000</v>
      </c>
      <c r="I55" s="57">
        <f>I41+I51</f>
        <v>0</v>
      </c>
      <c r="J55" s="56">
        <f>J41+J51</f>
        <v>28000000</v>
      </c>
      <c r="K55" s="56">
        <f>K41+K51</f>
        <v>82435000</v>
      </c>
      <c r="L55" s="58"/>
      <c r="M55" s="56">
        <f>M41+M51</f>
        <v>199284.36000000002</v>
      </c>
      <c r="N55" s="56">
        <f>N41+N51</f>
        <v>1223966.1200000001</v>
      </c>
      <c r="O55" s="56">
        <f>O41+O51</f>
        <v>1265389.6000000001</v>
      </c>
      <c r="P55" s="56">
        <f>P41+P51</f>
        <v>157860.87999999998</v>
      </c>
      <c r="Q55" s="187">
        <f>Q41+Q51</f>
        <v>82592860.879999995</v>
      </c>
    </row>
    <row r="56" spans="1:17" ht="10.5" customHeight="1">
      <c r="A56" s="18"/>
      <c r="B56" s="25"/>
      <c r="C56" s="19"/>
      <c r="D56" s="19"/>
      <c r="E56" s="20"/>
      <c r="F56" s="22"/>
      <c r="G56" s="22"/>
      <c r="H56" s="26"/>
      <c r="I56" s="27"/>
      <c r="J56" s="27"/>
      <c r="K56" s="26"/>
      <c r="L56" s="26"/>
      <c r="M56" s="26"/>
      <c r="N56" s="26"/>
      <c r="O56" s="26"/>
      <c r="P56" s="26"/>
      <c r="Q56" s="26"/>
    </row>
    <row r="57" spans="1:17">
      <c r="N57" s="71"/>
    </row>
    <row r="58" spans="1:17" ht="17.25" customHeight="1">
      <c r="B58" s="214" t="s">
        <v>49</v>
      </c>
      <c r="C58" s="215"/>
      <c r="D58" s="215"/>
      <c r="E58" s="216"/>
      <c r="F58" s="217"/>
      <c r="G58" s="217"/>
      <c r="H58" s="218"/>
      <c r="I58" s="219"/>
      <c r="J58" s="219"/>
      <c r="K58" s="219"/>
    </row>
    <row r="61" spans="1:17" ht="15.75">
      <c r="B61" s="214" t="s">
        <v>71</v>
      </c>
      <c r="C61" s="220"/>
      <c r="D61" s="220"/>
      <c r="E61" s="220"/>
      <c r="F61" s="220"/>
      <c r="G61" s="220"/>
      <c r="H61" s="220"/>
      <c r="I61" s="220"/>
      <c r="J61" s="220"/>
      <c r="K61" s="220"/>
    </row>
    <row r="63" spans="1:17" ht="25.5">
      <c r="B63" s="201"/>
      <c r="C63" s="5" t="s">
        <v>27</v>
      </c>
    </row>
    <row r="75" spans="3:3" ht="16.5" customHeight="1"/>
    <row r="76" spans="3:3" ht="30" customHeight="1">
      <c r="C76" s="21"/>
    </row>
  </sheetData>
  <mergeCells count="12">
    <mergeCell ref="B58:K58"/>
    <mergeCell ref="B61:K61"/>
    <mergeCell ref="L1:Q2"/>
    <mergeCell ref="A52:M52"/>
    <mergeCell ref="A55:F55"/>
    <mergeCell ref="N5:O5"/>
    <mergeCell ref="A42:M42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C18" workbookViewId="0">
      <selection activeCell="N21" sqref="N21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3.5" customHeigh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hidden="1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57.75" hidden="1">
      <c r="A16" s="28">
        <v>3</v>
      </c>
      <c r="B16" s="29" t="s">
        <v>24</v>
      </c>
      <c r="C16" s="30"/>
      <c r="D16" s="31"/>
      <c r="E16" s="47"/>
      <c r="F16" s="48"/>
      <c r="G16" s="65"/>
      <c r="H16" s="36"/>
      <c r="I16" s="36"/>
      <c r="J16" s="36"/>
      <c r="K16" s="36"/>
      <c r="L16" s="69"/>
      <c r="M16" s="50"/>
      <c r="N16" s="50"/>
      <c r="O16" s="50"/>
      <c r="P16" s="50"/>
      <c r="Q16" s="50"/>
    </row>
    <row r="17" spans="1:17" ht="105">
      <c r="A17" s="61" t="s">
        <v>50</v>
      </c>
      <c r="B17" s="29" t="s">
        <v>24</v>
      </c>
      <c r="C17" s="30" t="s">
        <v>82</v>
      </c>
      <c r="D17" s="31" t="s">
        <v>32</v>
      </c>
      <c r="E17" s="47">
        <v>800000</v>
      </c>
      <c r="F17" s="48">
        <v>42819</v>
      </c>
      <c r="G17" s="65" t="s">
        <v>42</v>
      </c>
      <c r="H17" s="36">
        <v>500000</v>
      </c>
      <c r="I17" s="36"/>
      <c r="J17" s="36">
        <v>0</v>
      </c>
      <c r="K17" s="36">
        <f>H17-J17+I17</f>
        <v>500000</v>
      </c>
      <c r="L17" s="69">
        <f>8.25*1/3</f>
        <v>2.75</v>
      </c>
      <c r="M17" s="50">
        <v>2943.64</v>
      </c>
      <c r="N17" s="50">
        <f>1415.53+1278.54+40.6+17+2027.4+39.81+34</f>
        <v>4852.88</v>
      </c>
      <c r="O17" s="50">
        <v>8.86</v>
      </c>
      <c r="P17" s="50">
        <f>N17-O17+M17</f>
        <v>7787.66</v>
      </c>
      <c r="Q17" s="50">
        <f>K17+P17</f>
        <v>507787.66</v>
      </c>
    </row>
    <row r="18" spans="1:17" ht="105">
      <c r="A18" s="61"/>
      <c r="B18" s="29" t="s">
        <v>24</v>
      </c>
      <c r="C18" s="30" t="s">
        <v>78</v>
      </c>
      <c r="D18" s="31" t="s">
        <v>32</v>
      </c>
      <c r="E18" s="47">
        <v>1500000</v>
      </c>
      <c r="F18" s="48">
        <v>43459</v>
      </c>
      <c r="G18" s="65" t="s">
        <v>42</v>
      </c>
      <c r="H18" s="36">
        <v>1361500</v>
      </c>
      <c r="I18" s="36">
        <v>0</v>
      </c>
      <c r="J18" s="36">
        <v>0</v>
      </c>
      <c r="K18" s="36">
        <f>H18-J18+I18</f>
        <v>1361500</v>
      </c>
      <c r="L18" s="69">
        <v>2.75</v>
      </c>
      <c r="M18" s="50">
        <v>36809.01</v>
      </c>
      <c r="N18" s="50">
        <f>3854.47+3481.46+36+379.53+3842.04+72+311.92</f>
        <v>11977.42</v>
      </c>
      <c r="O18" s="50">
        <v>0</v>
      </c>
      <c r="P18" s="50">
        <f>N18-O18+M18</f>
        <v>48786.43</v>
      </c>
      <c r="Q18" s="50">
        <f>K18+P18</f>
        <v>1410286.43</v>
      </c>
    </row>
    <row r="19" spans="1:17" ht="69.75" customHeight="1">
      <c r="A19" s="61"/>
      <c r="B19" s="29" t="s">
        <v>24</v>
      </c>
      <c r="C19" s="30" t="s">
        <v>89</v>
      </c>
      <c r="D19" s="31" t="s">
        <v>32</v>
      </c>
      <c r="E19" s="47">
        <v>1750000</v>
      </c>
      <c r="F19" s="48">
        <v>43671</v>
      </c>
      <c r="G19" s="65" t="s">
        <v>42</v>
      </c>
      <c r="H19" s="36">
        <v>1750000</v>
      </c>
      <c r="I19" s="36">
        <v>0</v>
      </c>
      <c r="J19" s="36"/>
      <c r="K19" s="36">
        <f>H19-J19+I19</f>
        <v>1750000</v>
      </c>
      <c r="L19" s="69"/>
      <c r="M19" s="50">
        <v>19578.36</v>
      </c>
      <c r="N19" s="50">
        <f>4954.34+4474.89+10+182.73+4938.36+16.67+169.72</f>
        <v>14746.71</v>
      </c>
      <c r="O19" s="50">
        <v>4954.34</v>
      </c>
      <c r="P19" s="50">
        <f>N19-O19+M19</f>
        <v>29370.73</v>
      </c>
      <c r="Q19" s="50">
        <f>K19+P19</f>
        <v>1779370.73</v>
      </c>
    </row>
    <row r="20" spans="1:17" ht="105">
      <c r="A20" s="61"/>
      <c r="B20" s="29"/>
      <c r="C20" s="30" t="s">
        <v>90</v>
      </c>
      <c r="D20" s="31" t="s">
        <v>32</v>
      </c>
      <c r="E20" s="47">
        <v>1420000</v>
      </c>
      <c r="F20" s="48">
        <v>43824</v>
      </c>
      <c r="G20" s="65" t="s">
        <v>42</v>
      </c>
      <c r="H20" s="36">
        <v>1420000</v>
      </c>
      <c r="I20" s="36">
        <v>0</v>
      </c>
      <c r="J20" s="36"/>
      <c r="K20" s="36">
        <f>H20-J20+I20</f>
        <v>1420000</v>
      </c>
      <c r="L20" s="69"/>
      <c r="M20" s="50">
        <v>11174.12</v>
      </c>
      <c r="N20" s="50">
        <f>4020.09+3631.05+141.61+4007.12+132.62</f>
        <v>11932.49</v>
      </c>
      <c r="O20" s="50">
        <v>21.61</v>
      </c>
      <c r="P20" s="50">
        <f>N20-O20+M20</f>
        <v>23085</v>
      </c>
      <c r="Q20" s="50">
        <f>K20+P20</f>
        <v>1443085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H16+H17+H18+H19+H20</f>
        <v>5031500</v>
      </c>
      <c r="I21" s="47">
        <f>I18+I19+I20</f>
        <v>0</v>
      </c>
      <c r="J21" s="47">
        <f>J18+J19+J20+J17</f>
        <v>0</v>
      </c>
      <c r="K21" s="47">
        <f>K18+K19+K20+K17</f>
        <v>5031500</v>
      </c>
      <c r="L21" s="47"/>
      <c r="M21" s="47">
        <f>M16+M17+M18+M19+M20</f>
        <v>70505.13</v>
      </c>
      <c r="N21" s="47">
        <f>N16+N17+N18+N19+N20</f>
        <v>43509.5</v>
      </c>
      <c r="O21" s="47">
        <f>O16+O17+O18+O19+O20</f>
        <v>4984.8099999999995</v>
      </c>
      <c r="P21" s="47">
        <f>P16+P17+P18+P19+P20</f>
        <v>109029.81999999999</v>
      </c>
      <c r="Q21" s="47">
        <f>Q16+Q17+Q18+Q19+Q20</f>
        <v>5140529.82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0">I24+I25+I26</f>
        <v>0</v>
      </c>
      <c r="J27" s="36">
        <f t="shared" si="0"/>
        <v>0</v>
      </c>
      <c r="K27" s="36">
        <f t="shared" si="0"/>
        <v>0</v>
      </c>
      <c r="L27" s="36"/>
      <c r="M27" s="36">
        <f t="shared" si="0"/>
        <v>0</v>
      </c>
      <c r="N27" s="50">
        <f t="shared" si="0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5031500</v>
      </c>
      <c r="I31" s="57">
        <f>I21+I27</f>
        <v>0</v>
      </c>
      <c r="J31" s="56">
        <f>J21+J27</f>
        <v>0</v>
      </c>
      <c r="K31" s="56">
        <f>K21+K27</f>
        <v>5031500</v>
      </c>
      <c r="L31" s="58"/>
      <c r="M31" s="57">
        <f>M21</f>
        <v>70505.13</v>
      </c>
      <c r="N31" s="56">
        <f>N21+N27</f>
        <v>43509.5</v>
      </c>
      <c r="O31" s="56">
        <f>O21+O27</f>
        <v>4984.8099999999995</v>
      </c>
      <c r="P31" s="56">
        <f>P21+P27</f>
        <v>109029.81999999999</v>
      </c>
      <c r="Q31" s="56">
        <f>Q21+Q27</f>
        <v>5140529.82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52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69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A1:Q1"/>
    <mergeCell ref="D2:K2"/>
    <mergeCell ref="N3:O3"/>
    <mergeCell ref="F5:J5"/>
    <mergeCell ref="A31:F31"/>
    <mergeCell ref="B34:K34"/>
    <mergeCell ref="B37:K37"/>
    <mergeCell ref="A10:M10"/>
    <mergeCell ref="A13:M13"/>
    <mergeCell ref="A22:M22"/>
    <mergeCell ref="A28:M28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9" workbookViewId="0">
      <selection activeCell="P16" sqref="P16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104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61</v>
      </c>
      <c r="D16" s="31" t="s">
        <v>32</v>
      </c>
      <c r="E16" s="47">
        <v>500000</v>
      </c>
      <c r="F16" s="48">
        <v>42819</v>
      </c>
      <c r="G16" s="65" t="s">
        <v>42</v>
      </c>
      <c r="H16" s="36">
        <v>38000</v>
      </c>
      <c r="I16" s="36"/>
      <c r="J16" s="36">
        <v>38000</v>
      </c>
      <c r="K16" s="36">
        <f>H16-J16+I16</f>
        <v>0</v>
      </c>
      <c r="L16" s="69">
        <v>2.75</v>
      </c>
      <c r="M16" s="50">
        <v>114.5</v>
      </c>
      <c r="N16" s="50">
        <f>107.58+97.17+14+1.07+69.41+0.8</f>
        <v>290.03000000000003</v>
      </c>
      <c r="O16" s="50">
        <f>107.58+111.17+1.07</f>
        <v>219.82</v>
      </c>
      <c r="P16" s="50">
        <f>M16+N16-O16</f>
        <v>184.71000000000004</v>
      </c>
      <c r="Q16" s="50">
        <f>K16+P16</f>
        <v>184.71000000000004</v>
      </c>
    </row>
    <row r="17" spans="1:17" ht="105">
      <c r="A17" s="28"/>
      <c r="B17" s="29" t="s">
        <v>24</v>
      </c>
      <c r="C17" s="30" t="s">
        <v>77</v>
      </c>
      <c r="D17" s="31" t="s">
        <v>32</v>
      </c>
      <c r="E17" s="47">
        <v>700000</v>
      </c>
      <c r="F17" s="48">
        <v>43459</v>
      </c>
      <c r="G17" s="65" t="s">
        <v>42</v>
      </c>
      <c r="H17" s="36">
        <v>480000</v>
      </c>
      <c r="I17" s="36">
        <v>0</v>
      </c>
      <c r="J17" s="36">
        <v>60000</v>
      </c>
      <c r="K17" s="36">
        <f>H17-J17+I17</f>
        <v>420000</v>
      </c>
      <c r="L17" s="69">
        <v>2.75</v>
      </c>
      <c r="M17" s="50">
        <v>3318.07</v>
      </c>
      <c r="N17" s="50">
        <f>1358.9+1227.4+20+30.84+1354.52+23.13</f>
        <v>4014.7900000000004</v>
      </c>
      <c r="O17" s="50">
        <f>1372.52+30.84+1247.4</f>
        <v>2650.76</v>
      </c>
      <c r="P17" s="50">
        <f>M17+N17-O17</f>
        <v>4682.1000000000004</v>
      </c>
      <c r="Q17" s="50">
        <f>K17+P17</f>
        <v>424682.1</v>
      </c>
    </row>
    <row r="18" spans="1:17" ht="15">
      <c r="A18" s="28"/>
      <c r="B18" s="29"/>
      <c r="C18" s="30"/>
      <c r="D18" s="31"/>
      <c r="E18" s="47"/>
      <c r="F18" s="48"/>
      <c r="G18" s="65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H16+H18+H19+H17+H18</f>
        <v>518000</v>
      </c>
      <c r="I20" s="47">
        <f>I16+I18+I19+I17</f>
        <v>0</v>
      </c>
      <c r="J20" s="47">
        <f>J16+J18+J19+J17</f>
        <v>98000</v>
      </c>
      <c r="K20" s="47">
        <f>K16+K18+K19+K17</f>
        <v>420000</v>
      </c>
      <c r="L20" s="47">
        <f>L16+L18+L19+L17</f>
        <v>5.5</v>
      </c>
      <c r="M20" s="47">
        <f>M16+M18+M19+M17</f>
        <v>3432.57</v>
      </c>
      <c r="N20" s="47">
        <f>N16+N18+N19+N17+N18</f>
        <v>4304.8200000000006</v>
      </c>
      <c r="O20" s="47">
        <f>O16+O18+O19+O17+O18</f>
        <v>2870.5800000000004</v>
      </c>
      <c r="P20" s="47">
        <f>P16+P18+P19+P17+P18</f>
        <v>4866.8100000000004</v>
      </c>
      <c r="Q20" s="47">
        <f>Q16+Q18+Q19+Q17</f>
        <v>424866.81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0">I23+I24+I25</f>
        <v>0</v>
      </c>
      <c r="J26" s="36">
        <f t="shared" si="0"/>
        <v>0</v>
      </c>
      <c r="K26" s="36">
        <f t="shared" si="0"/>
        <v>0</v>
      </c>
      <c r="L26" s="36"/>
      <c r="M26" s="36">
        <f t="shared" si="0"/>
        <v>0</v>
      </c>
      <c r="N26" s="50">
        <f t="shared" si="0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518000</v>
      </c>
      <c r="I30" s="57">
        <f>I20+I26</f>
        <v>0</v>
      </c>
      <c r="J30" s="56">
        <f>J20+J26</f>
        <v>98000</v>
      </c>
      <c r="K30" s="56">
        <f>K20+K26</f>
        <v>420000</v>
      </c>
      <c r="L30" s="58"/>
      <c r="M30" s="57">
        <f>M20</f>
        <v>3432.57</v>
      </c>
      <c r="N30" s="56">
        <f>N20+N26</f>
        <v>4304.8200000000006</v>
      </c>
      <c r="O30" s="56">
        <f>O20+O26</f>
        <v>2870.5800000000004</v>
      </c>
      <c r="P30" s="56">
        <f>P20+P26</f>
        <v>4866.8100000000004</v>
      </c>
      <c r="Q30" s="56">
        <f>Q20+Q26</f>
        <v>424866.81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54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70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53</v>
      </c>
      <c r="D38" s="5"/>
      <c r="E38" s="10"/>
      <c r="F38" s="13"/>
      <c r="G38" s="13"/>
      <c r="H38" s="1"/>
      <c r="I38" s="1"/>
      <c r="J38" s="1" t="s">
        <v>55</v>
      </c>
      <c r="K38" s="1"/>
      <c r="L38" s="1"/>
      <c r="M38" s="1"/>
      <c r="N38" s="1"/>
      <c r="O38" s="1"/>
      <c r="P38" s="1"/>
      <c r="Q38" s="1"/>
    </row>
  </sheetData>
  <mergeCells count="11">
    <mergeCell ref="A1:Q1"/>
    <mergeCell ref="D2:K2"/>
    <mergeCell ref="N3:O3"/>
    <mergeCell ref="F5:J5"/>
    <mergeCell ref="A30:F30"/>
    <mergeCell ref="B36:K36"/>
    <mergeCell ref="A10:M10"/>
    <mergeCell ref="A13:M13"/>
    <mergeCell ref="A21:M21"/>
    <mergeCell ref="A27:M27"/>
    <mergeCell ref="B33:K33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D3" sqref="D3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9" t="s">
        <v>40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42" t="s">
        <v>102</v>
      </c>
      <c r="E2" s="243"/>
      <c r="F2" s="243"/>
      <c r="G2" s="243"/>
      <c r="H2" s="243"/>
      <c r="I2" s="243"/>
      <c r="J2" s="243"/>
      <c r="K2" s="243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45"/>
      <c r="G5" s="245"/>
      <c r="H5" s="245"/>
      <c r="I5" s="245"/>
      <c r="J5" s="245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>
        <v>1</v>
      </c>
      <c r="B15" s="91"/>
      <c r="C15" s="92"/>
      <c r="D15" s="93"/>
      <c r="E15" s="103"/>
      <c r="F15" s="104"/>
      <c r="G15" s="108"/>
      <c r="H15" s="97"/>
      <c r="I15" s="97"/>
      <c r="J15" s="97"/>
      <c r="K15" s="97"/>
      <c r="L15" s="107"/>
      <c r="M15" s="107"/>
      <c r="N15" s="107"/>
      <c r="O15" s="107"/>
      <c r="P15" s="107">
        <f>M15+N15-O15</f>
        <v>0</v>
      </c>
      <c r="Q15" s="107">
        <f>K15+P15</f>
        <v>0</v>
      </c>
    </row>
    <row r="16" spans="1:17" ht="20.25">
      <c r="A16" s="90"/>
      <c r="B16" s="91"/>
      <c r="C16" s="92"/>
      <c r="D16" s="93"/>
      <c r="E16" s="103"/>
      <c r="F16" s="104"/>
      <c r="G16" s="108"/>
      <c r="H16" s="97"/>
      <c r="I16" s="97"/>
      <c r="J16" s="97"/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/>
      <c r="F18" s="103"/>
      <c r="G18" s="103"/>
      <c r="H18" s="103"/>
      <c r="I18" s="103"/>
      <c r="J18" s="103"/>
      <c r="K18" s="103">
        <f t="shared" ref="K18:Q18" si="0">K14+K15+K16+K17</f>
        <v>0</v>
      </c>
      <c r="L18" s="103"/>
      <c r="M18" s="103">
        <f t="shared" si="0"/>
        <v>0</v>
      </c>
      <c r="N18" s="103">
        <f t="shared" si="0"/>
        <v>0</v>
      </c>
      <c r="O18" s="103">
        <f t="shared" si="0"/>
        <v>0</v>
      </c>
      <c r="P18" s="103">
        <f t="shared" si="0"/>
        <v>0</v>
      </c>
      <c r="Q18" s="103">
        <f t="shared" si="0"/>
        <v>0</v>
      </c>
    </row>
    <row r="19" spans="1:17" ht="20.25">
      <c r="A19" s="246" t="s">
        <v>21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6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54" t="s">
        <v>17</v>
      </c>
      <c r="B28" s="255"/>
      <c r="C28" s="256"/>
      <c r="D28" s="256"/>
      <c r="E28" s="256"/>
      <c r="F28" s="257"/>
      <c r="G28" s="118"/>
      <c r="H28" s="119">
        <f>H18+H24</f>
        <v>0</v>
      </c>
      <c r="I28" s="119">
        <f>I18+I24</f>
        <v>0</v>
      </c>
      <c r="J28" s="120">
        <f>J18+J24</f>
        <v>0</v>
      </c>
      <c r="K28" s="120">
        <f>K18+K24</f>
        <v>0</v>
      </c>
      <c r="L28" s="121"/>
      <c r="M28" s="119">
        <f>M18</f>
        <v>0</v>
      </c>
      <c r="N28" s="120">
        <f>N18+N24</f>
        <v>0</v>
      </c>
      <c r="O28" s="120">
        <f>O18+O24</f>
        <v>0</v>
      </c>
      <c r="P28" s="107">
        <f>M28+N28-O28</f>
        <v>0</v>
      </c>
      <c r="Q28" s="120">
        <f>Q18+Q24</f>
        <v>0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48" t="s">
        <v>51</v>
      </c>
      <c r="C31" s="258"/>
      <c r="D31" s="258"/>
      <c r="E31" s="259"/>
      <c r="F31" s="260"/>
      <c r="G31" s="260"/>
      <c r="H31" s="261"/>
      <c r="I31" s="249"/>
      <c r="J31" s="249"/>
      <c r="K31" s="249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48" t="s">
        <v>71</v>
      </c>
      <c r="C34" s="249"/>
      <c r="D34" s="249"/>
      <c r="E34" s="249"/>
      <c r="F34" s="249"/>
      <c r="G34" s="249"/>
      <c r="H34" s="249"/>
      <c r="I34" s="249"/>
      <c r="J34" s="249"/>
      <c r="K34" s="249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56</v>
      </c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9" zoomScale="60" workbookViewId="0">
      <selection activeCell="N17" sqref="N17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105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62</v>
      </c>
      <c r="D15" s="149" t="s">
        <v>32</v>
      </c>
      <c r="E15" s="159">
        <v>1100000</v>
      </c>
      <c r="F15" s="160">
        <v>42819</v>
      </c>
      <c r="G15" s="164" t="s">
        <v>42</v>
      </c>
      <c r="H15" s="153">
        <v>118000</v>
      </c>
      <c r="I15" s="153"/>
      <c r="J15" s="153">
        <f>31000+31000+56000</f>
        <v>118000</v>
      </c>
      <c r="K15" s="153">
        <f>H15-J15+I15</f>
        <v>0</v>
      </c>
      <c r="L15" s="171">
        <v>2.75</v>
      </c>
      <c r="M15" s="163">
        <v>348.22</v>
      </c>
      <c r="N15" s="163">
        <f>334.06+180+76.71</f>
        <v>590.77</v>
      </c>
      <c r="O15" s="163">
        <f>682.28+180</f>
        <v>862.28</v>
      </c>
      <c r="P15" s="163">
        <f>N15-O15+M15</f>
        <v>76.710000000000036</v>
      </c>
      <c r="Q15" s="163">
        <f>K15+M15+N15-O15</f>
        <v>76.710000000000036</v>
      </c>
    </row>
    <row r="16" spans="1:17" ht="187.5">
      <c r="A16" s="146">
        <v>2</v>
      </c>
      <c r="B16" s="147" t="s">
        <v>24</v>
      </c>
      <c r="C16" s="148" t="s">
        <v>91</v>
      </c>
      <c r="D16" s="149" t="s">
        <v>32</v>
      </c>
      <c r="E16" s="159">
        <v>836000</v>
      </c>
      <c r="F16" s="160">
        <v>43758</v>
      </c>
      <c r="G16" s="164" t="s">
        <v>42</v>
      </c>
      <c r="H16" s="153">
        <v>836000</v>
      </c>
      <c r="I16" s="153">
        <v>0</v>
      </c>
      <c r="J16" s="153"/>
      <c r="K16" s="153">
        <f>H16-J16+I16</f>
        <v>836000</v>
      </c>
      <c r="L16" s="162"/>
      <c r="M16" s="163">
        <v>2366.7600000000002</v>
      </c>
      <c r="N16" s="163">
        <f>2366.76+2137.72+2282.77</f>
        <v>6787.25</v>
      </c>
      <c r="O16" s="163">
        <f>4733.52+2137.72</f>
        <v>6871.24</v>
      </c>
      <c r="P16" s="163">
        <f>N16-O16+M16</f>
        <v>2282.7700000000004</v>
      </c>
      <c r="Q16" s="163">
        <f>K16+M16+N16-O16</f>
        <v>838282.77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f>H15+H16</f>
        <v>954000</v>
      </c>
      <c r="I18" s="159"/>
      <c r="J18" s="159">
        <f t="shared" ref="J18:Q18" si="0">J15+J16+J17</f>
        <v>118000</v>
      </c>
      <c r="K18" s="159">
        <f t="shared" si="0"/>
        <v>836000</v>
      </c>
      <c r="L18" s="159">
        <f t="shared" si="0"/>
        <v>2.75</v>
      </c>
      <c r="M18" s="159">
        <f t="shared" si="0"/>
        <v>2714.9800000000005</v>
      </c>
      <c r="N18" s="159">
        <f t="shared" si="0"/>
        <v>7378.02</v>
      </c>
      <c r="O18" s="159">
        <f t="shared" si="0"/>
        <v>7733.5199999999995</v>
      </c>
      <c r="P18" s="159">
        <f t="shared" si="0"/>
        <v>2359.4800000000005</v>
      </c>
      <c r="Q18" s="159">
        <f t="shared" si="0"/>
        <v>838359.48</v>
      </c>
    </row>
    <row r="19" spans="1:17" ht="18.75">
      <c r="A19" s="267" t="s">
        <v>21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7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75" t="s">
        <v>17</v>
      </c>
      <c r="B28" s="276"/>
      <c r="C28" s="277"/>
      <c r="D28" s="277"/>
      <c r="E28" s="277"/>
      <c r="F28" s="278"/>
      <c r="G28" s="174"/>
      <c r="H28" s="175">
        <f>H18+H24</f>
        <v>954000</v>
      </c>
      <c r="I28" s="175">
        <f>I18+I24</f>
        <v>0</v>
      </c>
      <c r="J28" s="176">
        <f>J18+J24</f>
        <v>118000</v>
      </c>
      <c r="K28" s="176">
        <f>K18+K24</f>
        <v>836000</v>
      </c>
      <c r="L28" s="58"/>
      <c r="M28" s="175">
        <f>M18</f>
        <v>2714.9800000000005</v>
      </c>
      <c r="N28" s="176">
        <f>N18+N24</f>
        <v>7378.02</v>
      </c>
      <c r="O28" s="176">
        <f>O18+O24</f>
        <v>7733.5199999999995</v>
      </c>
      <c r="P28" s="176">
        <f>P18+P24</f>
        <v>2359.4800000000005</v>
      </c>
      <c r="Q28" s="176">
        <f>K28+P28</f>
        <v>838359.48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9" t="s">
        <v>51</v>
      </c>
      <c r="C31" s="279"/>
      <c r="D31" s="279"/>
      <c r="E31" s="280"/>
      <c r="F31" s="281"/>
      <c r="G31" s="281"/>
      <c r="H31" s="282"/>
      <c r="I31" s="270"/>
      <c r="J31" s="270"/>
      <c r="K31" s="270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9" t="s">
        <v>72</v>
      </c>
      <c r="C34" s="270"/>
      <c r="D34" s="270"/>
      <c r="E34" s="270"/>
      <c r="F34" s="270"/>
      <c r="G34" s="270"/>
      <c r="H34" s="270"/>
      <c r="I34" s="270"/>
      <c r="J34" s="270"/>
      <c r="K34" s="270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73</v>
      </c>
      <c r="J36" s="1"/>
      <c r="K36" s="1"/>
    </row>
  </sheetData>
  <mergeCells count="11">
    <mergeCell ref="B34:K34"/>
    <mergeCell ref="A13:M13"/>
    <mergeCell ref="A19:M19"/>
    <mergeCell ref="A25:M25"/>
    <mergeCell ref="A28:F28"/>
    <mergeCell ref="B31:K31"/>
    <mergeCell ref="A1:Q1"/>
    <mergeCell ref="D2:K2"/>
    <mergeCell ref="N3:O3"/>
    <mergeCell ref="F5:J5"/>
    <mergeCell ref="A10:M10"/>
  </mergeCells>
  <pageMargins left="0.32" right="0.18" top="0.31496062992125984" bottom="0.31496062992125984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6" zoomScale="60" workbookViewId="0">
      <selection activeCell="N18" sqref="N18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62"/>
      <c r="P1" s="262"/>
      <c r="Q1" s="262"/>
    </row>
    <row r="2" spans="1:17" ht="18.75">
      <c r="A2" s="130"/>
      <c r="B2" s="131"/>
      <c r="C2" s="131"/>
      <c r="D2" s="263" t="s">
        <v>104</v>
      </c>
      <c r="E2" s="264"/>
      <c r="F2" s="264"/>
      <c r="G2" s="264"/>
      <c r="H2" s="264"/>
      <c r="I2" s="264"/>
      <c r="J2" s="264"/>
      <c r="K2" s="264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65" t="s">
        <v>22</v>
      </c>
      <c r="O3" s="265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66"/>
      <c r="G5" s="266"/>
      <c r="H5" s="266"/>
      <c r="I5" s="266"/>
      <c r="J5" s="266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7" t="s">
        <v>19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71" t="s">
        <v>20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46</v>
      </c>
      <c r="D15" s="149" t="s">
        <v>32</v>
      </c>
      <c r="E15" s="159">
        <v>780000</v>
      </c>
      <c r="F15" s="160">
        <v>42389</v>
      </c>
      <c r="G15" s="164" t="s">
        <v>42</v>
      </c>
      <c r="H15" s="153">
        <v>113382</v>
      </c>
      <c r="I15" s="153"/>
      <c r="J15" s="153">
        <f>8154+8154</f>
        <v>16308</v>
      </c>
      <c r="K15" s="153">
        <f>H15-J15+I15</f>
        <v>97074</v>
      </c>
      <c r="L15" s="163">
        <v>2.75</v>
      </c>
      <c r="M15" s="163">
        <v>322.10000000000002</v>
      </c>
      <c r="N15" s="163">
        <f>317.88+257.91+274.82+65.23+1.81</f>
        <v>917.64999999999986</v>
      </c>
      <c r="O15" s="163">
        <f>317.88+322.1</f>
        <v>639.98</v>
      </c>
      <c r="P15" s="163">
        <f>N15-O15+M15</f>
        <v>599.76999999999987</v>
      </c>
      <c r="Q15" s="163">
        <f>K15+P15</f>
        <v>97673.77</v>
      </c>
    </row>
    <row r="16" spans="1:17" ht="156">
      <c r="A16" s="146">
        <v>2</v>
      </c>
      <c r="B16" s="147" t="s">
        <v>24</v>
      </c>
      <c r="C16" s="148" t="s">
        <v>57</v>
      </c>
      <c r="D16" s="149" t="s">
        <v>32</v>
      </c>
      <c r="E16" s="159">
        <v>500000</v>
      </c>
      <c r="F16" s="160">
        <v>42819</v>
      </c>
      <c r="G16" s="164" t="s">
        <v>42</v>
      </c>
      <c r="H16" s="153">
        <v>159279</v>
      </c>
      <c r="I16" s="153"/>
      <c r="J16" s="153">
        <f>8513+8513</f>
        <v>17026</v>
      </c>
      <c r="K16" s="153">
        <f>H16-J16+I16</f>
        <v>142253</v>
      </c>
      <c r="L16" s="163">
        <v>2.75</v>
      </c>
      <c r="M16" s="163">
        <v>454.81</v>
      </c>
      <c r="N16" s="163">
        <f>450.93+373.86+401.43+2.62+68.1</f>
        <v>1296.9399999999998</v>
      </c>
      <c r="O16" s="163">
        <f>450.93+454.81</f>
        <v>905.74</v>
      </c>
      <c r="P16" s="163">
        <f>N16-O16+M16</f>
        <v>846.00999999999976</v>
      </c>
      <c r="Q16" s="163">
        <f>K16+P16</f>
        <v>143099.01</v>
      </c>
    </row>
    <row r="17" spans="1:17" ht="156">
      <c r="A17" s="213">
        <v>3</v>
      </c>
      <c r="B17" s="147" t="s">
        <v>24</v>
      </c>
      <c r="C17" s="148" t="s">
        <v>92</v>
      </c>
      <c r="D17" s="149" t="s">
        <v>32</v>
      </c>
      <c r="E17" s="159">
        <v>204000</v>
      </c>
      <c r="F17" s="160">
        <v>43758</v>
      </c>
      <c r="G17" s="164" t="s">
        <v>42</v>
      </c>
      <c r="H17" s="153">
        <v>204000</v>
      </c>
      <c r="I17" s="153">
        <v>0</v>
      </c>
      <c r="J17" s="153"/>
      <c r="K17" s="153">
        <f>H17-J17+I17</f>
        <v>204000</v>
      </c>
      <c r="L17" s="171"/>
      <c r="M17" s="163">
        <v>577.53</v>
      </c>
      <c r="N17" s="163">
        <f>577.53+521.64+575.67+3.65</f>
        <v>1678.4900000000002</v>
      </c>
      <c r="O17" s="163">
        <f>577.53+577.53</f>
        <v>1155.06</v>
      </c>
      <c r="P17" s="163">
        <f>N17-O17+M17</f>
        <v>1100.9600000000003</v>
      </c>
      <c r="Q17" s="163">
        <f>K17+P17</f>
        <v>205100.96</v>
      </c>
    </row>
    <row r="18" spans="1:17" ht="156">
      <c r="A18" s="213">
        <v>4</v>
      </c>
      <c r="B18" s="147" t="s">
        <v>24</v>
      </c>
      <c r="C18" s="148" t="s">
        <v>93</v>
      </c>
      <c r="D18" s="149" t="s">
        <v>32</v>
      </c>
      <c r="E18" s="159">
        <v>216000</v>
      </c>
      <c r="F18" s="160">
        <v>43758</v>
      </c>
      <c r="G18" s="164" t="s">
        <v>42</v>
      </c>
      <c r="H18" s="153">
        <v>216000</v>
      </c>
      <c r="I18" s="153">
        <v>0</v>
      </c>
      <c r="J18" s="153"/>
      <c r="K18" s="153">
        <f>H18-J18+I18</f>
        <v>216000</v>
      </c>
      <c r="L18" s="171"/>
      <c r="M18" s="163">
        <v>611.51</v>
      </c>
      <c r="N18" s="163">
        <f>611.51+552.33+609.53+3.87</f>
        <v>1777.24</v>
      </c>
      <c r="O18" s="163">
        <f>611.51+611.51</f>
        <v>1223.02</v>
      </c>
      <c r="P18" s="163">
        <f>N18-O18+M18</f>
        <v>1165.73</v>
      </c>
      <c r="Q18" s="163">
        <f>K18+P18</f>
        <v>217165.73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>H15+H16+H17+H18</f>
        <v>692661</v>
      </c>
      <c r="I20" s="153">
        <f>I18+I19+I17</f>
        <v>0</v>
      </c>
      <c r="J20" s="159">
        <f t="shared" ref="J20" si="0">J15+J16</f>
        <v>33334</v>
      </c>
      <c r="K20" s="159">
        <f>K15+K16+K17+K18</f>
        <v>659327</v>
      </c>
      <c r="L20" s="159"/>
      <c r="M20" s="159">
        <f>M15+M16+M17+M18</f>
        <v>1965.95</v>
      </c>
      <c r="N20" s="159">
        <f>N17+N18+N15+N16</f>
        <v>5670.32</v>
      </c>
      <c r="O20" s="159">
        <f>O15+O16+O17+O18</f>
        <v>3923.7999999999997</v>
      </c>
      <c r="P20" s="159">
        <f>P15+P16+P17+P18</f>
        <v>3712.47</v>
      </c>
      <c r="Q20" s="159">
        <f>Q15+Q16+Q17+Q18</f>
        <v>663039.47</v>
      </c>
    </row>
    <row r="21" spans="1:17" ht="18.75">
      <c r="A21" s="267" t="s">
        <v>21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1">I23+I24+I25</f>
        <v>0</v>
      </c>
      <c r="J26" s="153">
        <f t="shared" si="1"/>
        <v>0</v>
      </c>
      <c r="K26" s="153">
        <f t="shared" si="1"/>
        <v>0</v>
      </c>
      <c r="L26" s="153"/>
      <c r="M26" s="153">
        <f t="shared" si="1"/>
        <v>0</v>
      </c>
      <c r="N26" s="163">
        <f t="shared" si="1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7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75" t="s">
        <v>17</v>
      </c>
      <c r="B30" s="276"/>
      <c r="C30" s="277"/>
      <c r="D30" s="277"/>
      <c r="E30" s="277"/>
      <c r="F30" s="278"/>
      <c r="G30" s="174"/>
      <c r="H30" s="175">
        <f>H20+H26</f>
        <v>692661</v>
      </c>
      <c r="I30" s="175">
        <f>I20+I26</f>
        <v>0</v>
      </c>
      <c r="J30" s="176">
        <f>J20+J26</f>
        <v>33334</v>
      </c>
      <c r="K30" s="176">
        <f>K20+K26</f>
        <v>659327</v>
      </c>
      <c r="L30" s="58"/>
      <c r="M30" s="176">
        <f>M20+M26</f>
        <v>1965.95</v>
      </c>
      <c r="N30" s="176">
        <f>N20+N26</f>
        <v>5670.32</v>
      </c>
      <c r="O30" s="176">
        <f>O20+O26</f>
        <v>3923.7999999999997</v>
      </c>
      <c r="P30" s="176">
        <f>P20+P26</f>
        <v>3712.47</v>
      </c>
      <c r="Q30" s="176">
        <f>Q20+Q26</f>
        <v>663039.47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9" t="s">
        <v>60</v>
      </c>
      <c r="C33" s="279"/>
      <c r="D33" s="279"/>
      <c r="E33" s="280"/>
      <c r="F33" s="281"/>
      <c r="G33" s="281"/>
      <c r="H33" s="282"/>
      <c r="I33" s="270"/>
      <c r="J33" s="270"/>
      <c r="K33" s="270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9" t="s">
        <v>70</v>
      </c>
      <c r="C36" s="270"/>
      <c r="D36" s="270"/>
      <c r="E36" s="270"/>
      <c r="F36" s="270"/>
      <c r="G36" s="270"/>
      <c r="H36" s="270"/>
      <c r="I36" s="270"/>
      <c r="J36" s="270"/>
      <c r="K36" s="270"/>
      <c r="L36" s="130"/>
      <c r="M36" s="130"/>
      <c r="N36" s="130"/>
      <c r="O36" s="130"/>
      <c r="P36" s="130"/>
      <c r="Q36" s="130"/>
    </row>
    <row r="38" spans="1:17">
      <c r="B38" t="s">
        <v>58</v>
      </c>
      <c r="J38" t="s">
        <v>59</v>
      </c>
    </row>
  </sheetData>
  <mergeCells count="11">
    <mergeCell ref="B36:K36"/>
    <mergeCell ref="A13:M13"/>
    <mergeCell ref="A21:M21"/>
    <mergeCell ref="A27:M27"/>
    <mergeCell ref="A30:F30"/>
    <mergeCell ref="B33:K33"/>
    <mergeCell ref="A1:Q1"/>
    <mergeCell ref="D2:K2"/>
    <mergeCell ref="N3:O3"/>
    <mergeCell ref="F5:J5"/>
    <mergeCell ref="A10:M10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100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/>
      <c r="D16" s="31" t="s">
        <v>32</v>
      </c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B34:K34"/>
    <mergeCell ref="A19:M19"/>
    <mergeCell ref="A25:M25"/>
    <mergeCell ref="A28:F28"/>
    <mergeCell ref="B31:K31"/>
    <mergeCell ref="A13:M13"/>
    <mergeCell ref="A1:Q1"/>
    <mergeCell ref="D2:K2"/>
    <mergeCell ref="N3:O3"/>
    <mergeCell ref="F5:J5"/>
    <mergeCell ref="A10:M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100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5">
      <c r="A16" s="28"/>
      <c r="B16" s="29"/>
      <c r="C16" s="30"/>
      <c r="D16" s="31"/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A19:M19"/>
    <mergeCell ref="A25:M25"/>
    <mergeCell ref="A28:F28"/>
    <mergeCell ref="B31:K31"/>
    <mergeCell ref="B34:K34"/>
    <mergeCell ref="A13:M13"/>
    <mergeCell ref="A1:Q1"/>
    <mergeCell ref="D2:K2"/>
    <mergeCell ref="N3:O3"/>
    <mergeCell ref="F5:J5"/>
    <mergeCell ref="A10:M10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topLeftCell="A9" zoomScale="60" zoomScaleNormal="100" workbookViewId="0">
      <selection activeCell="K16" sqref="K16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7.5703125" customWidth="1"/>
    <col min="16" max="16" width="19.28515625" customWidth="1"/>
    <col min="17" max="17" width="16.85546875" customWidth="1"/>
  </cols>
  <sheetData>
    <row r="1" spans="1:17" ht="20.25">
      <c r="A1" s="239" t="s">
        <v>66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  <c r="P1" s="241"/>
      <c r="Q1" s="241"/>
    </row>
    <row r="2" spans="1:17" ht="20.25">
      <c r="A2" s="74"/>
      <c r="B2" s="75"/>
      <c r="C2" s="75"/>
      <c r="D2" s="283" t="s">
        <v>102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44" t="s">
        <v>22</v>
      </c>
      <c r="O3" s="244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45"/>
      <c r="G5" s="245"/>
      <c r="H5" s="245"/>
      <c r="I5" s="245"/>
      <c r="J5" s="245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6" t="s">
        <v>19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50" t="s">
        <v>20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61</v>
      </c>
      <c r="D16" s="93" t="s">
        <v>32</v>
      </c>
      <c r="E16" s="103">
        <v>500000</v>
      </c>
      <c r="F16" s="104">
        <v>42819</v>
      </c>
      <c r="G16" s="108" t="s">
        <v>42</v>
      </c>
      <c r="H16" s="97">
        <f>Лист2!H21+Лист3!H30+Лист4!H28+Лист5!H28+Лист6!H30</f>
        <v>7196161</v>
      </c>
      <c r="I16" s="97">
        <f>Лист2!I21+Лист3!I30+Лист4!I28+Лист5!I28+Лист6!I30+Лист7!E16+Лист8!E16</f>
        <v>0</v>
      </c>
      <c r="J16" s="97">
        <f>Лист2!J21+Лист3!J30+Лист4!J28+Лист5!J28+Лист6!J30+Лист7!J16+Лист8!J16</f>
        <v>249334</v>
      </c>
      <c r="K16" s="97">
        <f>Лист2!K21+Лист3!K30+Лист4!K28+Лист5!K28+Лист6!K30+Лист7!K16+Лист8!K16</f>
        <v>6946827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78618.63</v>
      </c>
      <c r="N16" s="107">
        <f>Лист2!N21+Лист3!N30+Лист4!N28+Лист5!N28+Лист6!N30</f>
        <v>60862.659999999996</v>
      </c>
      <c r="O16" s="107">
        <f>Лист2!O21+Лист3!O30+Лист4!O28+Лист5!O28+Лист6!O30</f>
        <v>19512.71</v>
      </c>
      <c r="P16" s="107">
        <f>M16+N16-O16</f>
        <v>119968.58000000002</v>
      </c>
      <c r="Q16" s="107">
        <f>K16+P16</f>
        <v>7066795.5800000001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7196161</v>
      </c>
      <c r="I19" s="103">
        <f t="shared" si="0"/>
        <v>0</v>
      </c>
      <c r="J19" s="103">
        <f t="shared" si="0"/>
        <v>249334</v>
      </c>
      <c r="K19" s="103">
        <f t="shared" si="0"/>
        <v>6946827</v>
      </c>
      <c r="L19" s="103">
        <f t="shared" si="0"/>
        <v>0</v>
      </c>
      <c r="M19" s="103">
        <f t="shared" si="0"/>
        <v>78618.63</v>
      </c>
      <c r="N19" s="103">
        <f t="shared" si="0"/>
        <v>60862.659999999996</v>
      </c>
      <c r="O19" s="103">
        <f t="shared" si="0"/>
        <v>19512.71</v>
      </c>
      <c r="P19" s="103">
        <f t="shared" si="0"/>
        <v>119968.58000000002</v>
      </c>
      <c r="Q19" s="103">
        <f t="shared" si="0"/>
        <v>7066795.5800000001</v>
      </c>
    </row>
    <row r="20" spans="1:17" ht="20.25">
      <c r="A20" s="246" t="s">
        <v>21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6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7196161</v>
      </c>
      <c r="I29" s="57">
        <f>I19+I25</f>
        <v>0</v>
      </c>
      <c r="J29" s="56">
        <f>J19+J25</f>
        <v>249334</v>
      </c>
      <c r="K29" s="56">
        <f>K19+K25</f>
        <v>6946827</v>
      </c>
      <c r="L29" s="58"/>
      <c r="M29" s="56">
        <f>M19+M25</f>
        <v>78618.63</v>
      </c>
      <c r="N29" s="56">
        <f>N19+N25</f>
        <v>60862.659999999996</v>
      </c>
      <c r="O29" s="56">
        <f>O19+O25</f>
        <v>19512.71</v>
      </c>
      <c r="P29" s="56">
        <f>P19+P25</f>
        <v>119968.58000000002</v>
      </c>
      <c r="Q29" s="56">
        <f>Q19+Q25</f>
        <v>7066795.5800000001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2017-01-25T05:41:47Z</cp:lastPrinted>
  <dcterms:created xsi:type="dcterms:W3CDTF">2006-06-05T06:40:26Z</dcterms:created>
  <dcterms:modified xsi:type="dcterms:W3CDTF">2017-04-10T11:41:34Z</dcterms:modified>
</cp:coreProperties>
</file>