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2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P17" i="5"/>
  <c r="P18" l="1"/>
  <c r="P15"/>
  <c r="P16"/>
  <c r="P16" i="6"/>
  <c r="P17" i="4"/>
  <c r="P18" i="3"/>
  <c r="P17"/>
  <c r="P16"/>
  <c r="P15"/>
  <c r="Q18" l="1"/>
  <c r="Q15" i="5"/>
  <c r="Q16"/>
  <c r="Q17"/>
  <c r="Q18"/>
  <c r="Q16" i="6"/>
  <c r="Q17" i="4"/>
  <c r="Q16" i="3"/>
  <c r="Q17"/>
  <c r="Q15"/>
  <c r="L17" i="4"/>
  <c r="Q35" i="2" l="1"/>
  <c r="P35"/>
  <c r="R35"/>
  <c r="P32"/>
  <c r="P31"/>
  <c r="P30"/>
  <c r="P28"/>
  <c r="P25"/>
  <c r="P23"/>
  <c r="P22"/>
  <c r="P20"/>
  <c r="P19"/>
  <c r="Q32"/>
  <c r="Q31"/>
  <c r="Q30"/>
  <c r="Q28"/>
  <c r="Q25"/>
  <c r="Q23"/>
  <c r="Q22"/>
  <c r="Q20"/>
  <c r="Q19"/>
  <c r="M35"/>
  <c r="M33"/>
  <c r="R33"/>
  <c r="R34"/>
  <c r="J35"/>
  <c r="M16" i="5"/>
  <c r="M18"/>
  <c r="L15"/>
  <c r="G15" i="7"/>
  <c r="H15"/>
  <c r="I15"/>
  <c r="J15"/>
  <c r="N15"/>
  <c r="O15"/>
  <c r="D15"/>
  <c r="H23" i="6"/>
  <c r="I23"/>
  <c r="J23"/>
  <c r="K23"/>
  <c r="L23"/>
  <c r="M23"/>
  <c r="N23"/>
  <c r="O23"/>
  <c r="Q23"/>
  <c r="D23"/>
  <c r="R16"/>
  <c r="R17" s="1"/>
  <c r="R23" s="1"/>
  <c r="R15"/>
  <c r="Q15"/>
  <c r="Q17" s="1"/>
  <c r="P15"/>
  <c r="M16"/>
  <c r="M15"/>
  <c r="L15"/>
  <c r="L17" s="1"/>
  <c r="H17"/>
  <c r="I17"/>
  <c r="J17"/>
  <c r="K17"/>
  <c r="N17"/>
  <c r="O17"/>
  <c r="P17"/>
  <c r="P23" s="1"/>
  <c r="D17"/>
  <c r="I25" i="5"/>
  <c r="J25"/>
  <c r="N25"/>
  <c r="O25"/>
  <c r="H25"/>
  <c r="D25"/>
  <c r="I24" i="4"/>
  <c r="J24"/>
  <c r="K24"/>
  <c r="N24"/>
  <c r="O24"/>
  <c r="H24"/>
  <c r="D24"/>
  <c r="I26" i="3"/>
  <c r="J26"/>
  <c r="K26"/>
  <c r="L26"/>
  <c r="M26"/>
  <c r="N26"/>
  <c r="O26"/>
  <c r="H26"/>
  <c r="D26"/>
  <c r="R16" i="5"/>
  <c r="R17"/>
  <c r="R18"/>
  <c r="R15"/>
  <c r="Q19"/>
  <c r="Q25" s="1"/>
  <c r="P19"/>
  <c r="P25" s="1"/>
  <c r="K19"/>
  <c r="K25" s="1"/>
  <c r="K15" i="7" s="1"/>
  <c r="M17" i="5"/>
  <c r="M15"/>
  <c r="H19"/>
  <c r="I19"/>
  <c r="J19"/>
  <c r="L19"/>
  <c r="L25" s="1"/>
  <c r="N19"/>
  <c r="O19"/>
  <c r="D19"/>
  <c r="R19" l="1"/>
  <c r="R25" s="1"/>
  <c r="M17" i="6"/>
  <c r="M19" i="5"/>
  <c r="M25" s="1"/>
  <c r="R17" i="4" l="1"/>
  <c r="R18" s="1"/>
  <c r="R24" s="1"/>
  <c r="R16"/>
  <c r="Q16"/>
  <c r="Q18" s="1"/>
  <c r="Q24" s="1"/>
  <c r="P16"/>
  <c r="P18" s="1"/>
  <c r="P24" s="1"/>
  <c r="L18"/>
  <c r="M16"/>
  <c r="I18"/>
  <c r="J18"/>
  <c r="K18"/>
  <c r="N18"/>
  <c r="O18"/>
  <c r="H18"/>
  <c r="D18"/>
  <c r="R16" i="3"/>
  <c r="R17"/>
  <c r="R18"/>
  <c r="R15"/>
  <c r="P19"/>
  <c r="H19"/>
  <c r="I19"/>
  <c r="J19"/>
  <c r="K19"/>
  <c r="L19"/>
  <c r="M19"/>
  <c r="N19"/>
  <c r="O19"/>
  <c r="Q19"/>
  <c r="M16"/>
  <c r="M17"/>
  <c r="M18"/>
  <c r="M15"/>
  <c r="G15"/>
  <c r="D19"/>
  <c r="P15" i="7" l="1"/>
  <c r="P26" i="3"/>
  <c r="Q15" i="7"/>
  <c r="Q26" i="3"/>
  <c r="R19"/>
  <c r="L24" i="4"/>
  <c r="L15" i="7"/>
  <c r="M17" i="4"/>
  <c r="M18" s="1"/>
  <c r="R15" i="7" l="1"/>
  <c r="R26" i="3"/>
  <c r="M24" i="4"/>
  <c r="M15" i="7"/>
  <c r="R39" i="2"/>
  <c r="Q39"/>
  <c r="Q38"/>
  <c r="R38" s="1"/>
  <c r="Q37"/>
  <c r="P39"/>
  <c r="P38"/>
  <c r="P37"/>
  <c r="R37" s="1"/>
  <c r="R40" s="1"/>
  <c r="H40"/>
  <c r="J40"/>
  <c r="L40"/>
  <c r="L43" s="1"/>
  <c r="M40"/>
  <c r="N40"/>
  <c r="O40"/>
  <c r="J43"/>
  <c r="D40"/>
  <c r="P40" l="1"/>
  <c r="Q40"/>
  <c r="R21"/>
  <c r="R26"/>
  <c r="R27"/>
  <c r="R29"/>
  <c r="Q24"/>
  <c r="Q18"/>
  <c r="R28"/>
  <c r="P24"/>
  <c r="R22"/>
  <c r="P18"/>
  <c r="O35"/>
  <c r="O43" s="1"/>
  <c r="N35"/>
  <c r="N43" s="1"/>
  <c r="M18"/>
  <c r="M19"/>
  <c r="M20"/>
  <c r="M21"/>
  <c r="M22"/>
  <c r="M23"/>
  <c r="M24"/>
  <c r="M25"/>
  <c r="M26"/>
  <c r="M27"/>
  <c r="M28"/>
  <c r="M29"/>
  <c r="M30"/>
  <c r="M31"/>
  <c r="M32"/>
  <c r="M34"/>
  <c r="M17"/>
  <c r="H35"/>
  <c r="H43" s="1"/>
  <c r="D35"/>
  <c r="D43" s="1"/>
  <c r="Q43" l="1"/>
  <c r="R23"/>
  <c r="R20"/>
  <c r="R25"/>
  <c r="R32"/>
  <c r="R19"/>
  <c r="R24"/>
  <c r="R31"/>
  <c r="M43"/>
  <c r="R18"/>
  <c r="R30"/>
  <c r="P43"/>
  <c r="R43" l="1"/>
</calcChain>
</file>

<file path=xl/sharedStrings.xml><?xml version="1.0" encoding="utf-8"?>
<sst xmlns="http://schemas.openxmlformats.org/spreadsheetml/2006/main" count="300" uniqueCount="96">
  <si>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</si>
  <si>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</si>
  <si>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</si>
  <si>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</si>
  <si>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</si>
  <si>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</si>
  <si>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</si>
  <si>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</si>
  <si>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</si>
  <si>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</si>
  <si>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</si>
  <si>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</si>
  <si>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</si>
  <si>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</si>
  <si>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</si>
  <si>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</si>
  <si>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</si>
  <si>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</si>
  <si>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</si>
  <si>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</si>
  <si>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</si>
  <si>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</si>
  <si>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</si>
  <si>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</si>
  <si>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</si>
  <si>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</si>
  <si>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</si>
  <si>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</si>
  <si>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N13-1/14 от  25.12.2014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</si>
  <si>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</si>
  <si>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</si>
  <si>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</si>
  <si>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</si>
  <si>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</si>
  <si>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</si>
  <si>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</si>
  <si>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</si>
  <si>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</si>
  <si>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</si>
  <si>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N13-3/16 от  20.09.2016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</si>
  <si>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</si>
  <si>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</si>
  <si>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</si>
  <si>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</si>
  <si>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</si>
  <si>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Кредитный договор N 039-030-К-2015 от 03.08.2015.</t>
  </si>
  <si>
    <t>Кредитный договор N 039-0352-К-2015 от 07.12.2015.</t>
  </si>
  <si>
    <t>Муниципальный контракт  N 0106300008416000007-0226286-01 от 02.07.2016.</t>
  </si>
  <si>
    <t>ОАО Банк "Возрождение"</t>
  </si>
  <si>
    <t>ПАО "Совкомбанк"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</si>
  <si>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</si>
  <si>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</si>
  <si>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</si>
  <si>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03.О3.2017</t>
  </si>
  <si>
    <t>01.О3.2017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</si>
  <si>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</si>
  <si>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</si>
  <si>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</si>
  <si>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</si>
  <si>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</si>
  <si>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</si>
  <si>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</si>
  <si>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</si>
  <si>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</si>
  <si>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</si>
  <si>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6-АПМР от 25.12.2013</t>
  </si>
  <si>
    <t>Договор № 1 от 22.12.2015</t>
  </si>
  <si>
    <t>Информация о долговых обязательствах  Шальского сельского поселения на 1 июля 2017года</t>
  </si>
  <si>
    <t>Информация о долговых обязательствах  Кривецкого сельского поселения на 1 июля 2017года</t>
  </si>
  <si>
    <t>Информация о долговых обяхательствах  Пудожского муниципального района по состоянию на 1 июля 2017года</t>
  </si>
  <si>
    <t>Договор №3 -АПМР от 07.10.2013</t>
  </si>
  <si>
    <t>Договор №9 -АПМР от 25.12.2013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</si>
  <si>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</si>
  <si>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</si>
  <si>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</si>
  <si>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</si>
  <si>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</si>
  <si>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</si>
  <si>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</si>
  <si>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</si>
  <si>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</si>
  <si>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</si>
  <si>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</si>
  <si>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</si>
  <si>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</si>
  <si>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8-АПМР от 25.12.2013</t>
  </si>
  <si>
    <t>Договор № 6 от 02.10.2016</t>
  </si>
  <si>
    <t>казна поселения</t>
  </si>
  <si>
    <t>Информация о долговых обяхательствах Авдеевского сельского поселения на 1 июля 2017года.</t>
  </si>
  <si>
    <t>Информация о долговых обяхательствах Красноборского сельского поселения на 1 июля 2017года.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</si>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</sst>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opLeftCell="B29" zoomScaleNormal="100" workbookViewId="0">
      <selection activeCell="G34" sqref="G34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3.7109375" style="8" customWidth="1"/>
    <col min="5" max="5" width="13.7109375" style="10" customWidth="1"/>
    <col min="6" max="6" width="15.140625" style="10" customWidth="1"/>
    <col min="7" max="7" width="6.28515625" style="1" customWidth="1"/>
    <col min="8" max="8" width="12.85546875" style="1" customWidth="1"/>
    <col min="9" max="9" width="12.42578125" style="1" customWidth="1"/>
    <col min="10" max="10" width="14.42578125" style="1" customWidth="1"/>
    <col min="11" max="11" width="11.42578125" style="1" customWidth="1"/>
    <col min="12" max="12" width="12.85546875" style="1" customWidth="1"/>
    <col min="13" max="13" width="12.5703125" style="1" customWidth="1"/>
    <col min="14" max="14" width="11" style="1" customWidth="1"/>
    <col min="15" max="15" width="10.5703125" style="1" customWidth="1"/>
    <col min="16" max="16" width="12.28515625" style="1" customWidth="1"/>
    <col min="17" max="17" width="12" style="1" customWidth="1"/>
    <col min="18" max="18" width="11.7109375" style="1" customWidth="1"/>
    <col min="19" max="16384" width="9.140625" style="1"/>
  </cols>
  <sheetData>
    <row r="1" spans="1:18">
      <c r="Q1" s="89" t="s">
        <v>10</v>
      </c>
      <c r="R1" s="89"/>
    </row>
    <row r="2" spans="1:18" ht="26.25" customHeight="1">
      <c r="Q2" s="89"/>
      <c r="R2" s="89"/>
    </row>
    <row r="3" spans="1:18" ht="21.75" customHeight="1">
      <c r="A3" s="90" t="s">
        <v>69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 t="s">
        <v>6</v>
      </c>
    </row>
    <row r="6" spans="1:18" ht="3" customHeight="1">
      <c r="E6" s="5"/>
      <c r="F6" s="5"/>
    </row>
    <row r="7" spans="1:18" ht="7.5" customHeight="1">
      <c r="E7" s="91"/>
      <c r="F7" s="91"/>
      <c r="G7" s="91"/>
      <c r="H7" s="91"/>
      <c r="I7" s="91"/>
      <c r="J7" s="91"/>
      <c r="K7" s="91"/>
      <c r="L7" s="91"/>
      <c r="M7" s="9"/>
      <c r="N7" s="9"/>
    </row>
    <row r="8" spans="1:18" ht="5.25" customHeight="1"/>
    <row r="9" spans="1:18" ht="15" customHeight="1"/>
    <row r="10" spans="1:18" ht="36.75" customHeight="1">
      <c r="A10" s="92" t="s">
        <v>1</v>
      </c>
      <c r="B10" s="84" t="s">
        <v>24</v>
      </c>
      <c r="C10" s="84" t="s">
        <v>11</v>
      </c>
      <c r="D10" s="84" t="s">
        <v>25</v>
      </c>
      <c r="E10" s="84" t="s">
        <v>26</v>
      </c>
      <c r="F10" s="84" t="s">
        <v>7</v>
      </c>
      <c r="G10" s="84" t="s">
        <v>0</v>
      </c>
      <c r="H10" s="84" t="s">
        <v>16</v>
      </c>
      <c r="I10" s="84" t="s">
        <v>8</v>
      </c>
      <c r="J10" s="84" t="s">
        <v>12</v>
      </c>
      <c r="K10" s="84" t="s">
        <v>9</v>
      </c>
      <c r="L10" s="84" t="s">
        <v>13</v>
      </c>
      <c r="M10" s="93" t="s">
        <v>23</v>
      </c>
      <c r="N10" s="94"/>
      <c r="O10" s="84" t="s">
        <v>4</v>
      </c>
      <c r="P10" s="84" t="s">
        <v>20</v>
      </c>
      <c r="Q10" s="84" t="s">
        <v>19</v>
      </c>
      <c r="R10" s="84" t="s">
        <v>18</v>
      </c>
    </row>
    <row r="11" spans="1:18" s="13" customFormat="1" ht="94.5" customHeight="1">
      <c r="A11" s="92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40" t="s">
        <v>14</v>
      </c>
      <c r="N11" s="40" t="s">
        <v>17</v>
      </c>
      <c r="O11" s="85"/>
      <c r="P11" s="85"/>
      <c r="Q11" s="85"/>
      <c r="R11" s="85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23.25" customHeight="1">
      <c r="A13" s="86" t="s">
        <v>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8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80" t="s">
        <v>5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/>
    </row>
    <row r="17" spans="1:18" s="3" customFormat="1" ht="60" customHeight="1">
      <c r="A17" s="43">
        <v>1</v>
      </c>
      <c r="B17" s="22" t="s">
        <v>27</v>
      </c>
      <c r="C17" s="23" t="s">
        <v>43</v>
      </c>
      <c r="D17" s="46">
        <v>5000000</v>
      </c>
      <c r="E17" s="47">
        <v>42699</v>
      </c>
      <c r="F17" s="48" t="s">
        <v>44</v>
      </c>
      <c r="G17" s="43">
        <v>2.75</v>
      </c>
      <c r="H17" s="28">
        <v>2100000</v>
      </c>
      <c r="I17" s="22"/>
      <c r="J17" s="43"/>
      <c r="K17" s="43"/>
      <c r="L17" s="43"/>
      <c r="M17" s="49">
        <f>H17+J17-L17</f>
        <v>2100000</v>
      </c>
      <c r="N17" s="51">
        <v>0</v>
      </c>
      <c r="O17" s="50">
        <v>0</v>
      </c>
      <c r="P17" s="50">
        <v>0</v>
      </c>
      <c r="Q17" s="50">
        <v>0</v>
      </c>
      <c r="R17" s="51">
        <v>0</v>
      </c>
    </row>
    <row r="18" spans="1:18" s="3" customFormat="1" ht="32.25" customHeight="1">
      <c r="A18" s="43">
        <v>2</v>
      </c>
      <c r="B18" s="22" t="s">
        <v>28</v>
      </c>
      <c r="C18" s="23" t="s">
        <v>43</v>
      </c>
      <c r="D18" s="46">
        <v>3000000</v>
      </c>
      <c r="E18" s="47">
        <v>43064</v>
      </c>
      <c r="F18" s="48" t="s">
        <v>44</v>
      </c>
      <c r="G18" s="43">
        <v>2.75</v>
      </c>
      <c r="H18" s="28">
        <v>2350000</v>
      </c>
      <c r="I18" s="22"/>
      <c r="J18" s="51">
        <v>-2350000</v>
      </c>
      <c r="K18" s="43"/>
      <c r="L18" s="43"/>
      <c r="M18" s="49">
        <f t="shared" ref="M18:M34" si="0">H18+J18-L18</f>
        <v>0</v>
      </c>
      <c r="N18" s="51">
        <v>0</v>
      </c>
      <c r="O18" s="50">
        <v>6634.13</v>
      </c>
      <c r="P18" s="50">
        <f>6652.3-1931.31</f>
        <v>4720.99</v>
      </c>
      <c r="Q18" s="50">
        <f>6634.13+6652.3-1931.31</f>
        <v>11355.12</v>
      </c>
      <c r="R18" s="51">
        <f>O18+P18-Q18</f>
        <v>0</v>
      </c>
    </row>
    <row r="19" spans="1:18" s="3" customFormat="1" ht="27" customHeight="1">
      <c r="A19" s="43">
        <v>3</v>
      </c>
      <c r="B19" s="22" t="s">
        <v>29</v>
      </c>
      <c r="C19" s="23" t="s">
        <v>43</v>
      </c>
      <c r="D19" s="46">
        <v>10000000</v>
      </c>
      <c r="E19" s="47">
        <v>43271</v>
      </c>
      <c r="F19" s="48" t="s">
        <v>44</v>
      </c>
      <c r="G19" s="43">
        <v>2.75</v>
      </c>
      <c r="H19" s="28">
        <v>10000000</v>
      </c>
      <c r="I19" s="22"/>
      <c r="J19" s="51">
        <v>-6672000</v>
      </c>
      <c r="K19" s="43"/>
      <c r="L19" s="43"/>
      <c r="M19" s="49">
        <f t="shared" si="0"/>
        <v>3328000</v>
      </c>
      <c r="N19" s="51">
        <v>0</v>
      </c>
      <c r="O19" s="50">
        <v>28230.33</v>
      </c>
      <c r="P19" s="50">
        <f>28307.67+3025.81+9382.95+4396.82+4493.04+8729.39+8342.25</f>
        <v>66677.929999999993</v>
      </c>
      <c r="Q19" s="50">
        <f>28230.33+28307.67+3025.81+9382.95+4396.82+4493.04+8729.39</f>
        <v>86566.00999999998</v>
      </c>
      <c r="R19" s="51">
        <f t="shared" ref="R19:R34" si="1">O19+P19-Q19</f>
        <v>8342.2500000000146</v>
      </c>
    </row>
    <row r="20" spans="1:18" s="3" customFormat="1" ht="30" customHeight="1">
      <c r="A20" s="43">
        <v>4</v>
      </c>
      <c r="B20" s="22" t="s">
        <v>30</v>
      </c>
      <c r="C20" s="23" t="s">
        <v>43</v>
      </c>
      <c r="D20" s="46">
        <v>7000000</v>
      </c>
      <c r="E20" s="47">
        <v>43393</v>
      </c>
      <c r="F20" s="48" t="s">
        <v>44</v>
      </c>
      <c r="G20" s="43">
        <v>2.75</v>
      </c>
      <c r="H20" s="28">
        <v>5446000</v>
      </c>
      <c r="I20" s="22"/>
      <c r="J20" s="51">
        <v>-1200000</v>
      </c>
      <c r="K20" s="43"/>
      <c r="L20" s="43"/>
      <c r="M20" s="49">
        <f t="shared" si="0"/>
        <v>4246000</v>
      </c>
      <c r="N20" s="51">
        <v>0</v>
      </c>
      <c r="O20" s="50">
        <v>15374.24</v>
      </c>
      <c r="P20" s="50">
        <f>15416.36+9870.07+11971.16+11342.05+11137.32+10643.39</f>
        <v>70380.350000000006</v>
      </c>
      <c r="Q20" s="50">
        <f>15374.24+15416.36+9870.07+11971.16+11342.05+11137.32</f>
        <v>75111.200000000012</v>
      </c>
      <c r="R20" s="51">
        <f t="shared" si="1"/>
        <v>10643.39</v>
      </c>
    </row>
    <row r="21" spans="1:18" s="3" customFormat="1" ht="27" hidden="1" customHeight="1">
      <c r="A21" s="43">
        <v>5</v>
      </c>
      <c r="B21" s="22" t="s">
        <v>31</v>
      </c>
      <c r="C21" s="23" t="s">
        <v>43</v>
      </c>
      <c r="D21" s="46"/>
      <c r="E21" s="47"/>
      <c r="F21" s="43"/>
      <c r="G21" s="43">
        <v>2.75</v>
      </c>
      <c r="H21" s="28"/>
      <c r="I21" s="22" t="s">
        <v>31</v>
      </c>
      <c r="J21" s="43"/>
      <c r="K21" s="43"/>
      <c r="L21" s="43"/>
      <c r="M21" s="49">
        <f t="shared" si="0"/>
        <v>0</v>
      </c>
      <c r="N21" s="51">
        <v>0</v>
      </c>
      <c r="O21" s="50"/>
      <c r="P21" s="50"/>
      <c r="Q21" s="50"/>
      <c r="R21" s="51">
        <f t="shared" si="1"/>
        <v>0</v>
      </c>
    </row>
    <row r="22" spans="1:18" s="3" customFormat="1" ht="27" customHeight="1">
      <c r="A22" s="43">
        <v>5</v>
      </c>
      <c r="B22" s="22" t="s">
        <v>32</v>
      </c>
      <c r="C22" s="23" t="s">
        <v>43</v>
      </c>
      <c r="D22" s="46">
        <v>3000000</v>
      </c>
      <c r="E22" s="47">
        <v>43449</v>
      </c>
      <c r="F22" s="48" t="s">
        <v>44</v>
      </c>
      <c r="G22" s="43">
        <v>2.75</v>
      </c>
      <c r="H22" s="28">
        <v>3000000</v>
      </c>
      <c r="I22" s="22"/>
      <c r="J22" s="51">
        <v>-1500000</v>
      </c>
      <c r="K22" s="43"/>
      <c r="L22" s="43"/>
      <c r="M22" s="49">
        <f t="shared" si="0"/>
        <v>1500000</v>
      </c>
      <c r="N22" s="51">
        <v>0</v>
      </c>
      <c r="O22" s="50">
        <v>8469.1</v>
      </c>
      <c r="P22" s="50">
        <f>8492.3+2602.48+4229.1+4006.85+3934.52+3760.03</f>
        <v>27025.279999999999</v>
      </c>
      <c r="Q22" s="50">
        <f>8469.1+8492.3+2602.48+4229.1+4006.85+3934.52</f>
        <v>31734.350000000002</v>
      </c>
      <c r="R22" s="51">
        <f t="shared" si="1"/>
        <v>3760.0299999999952</v>
      </c>
    </row>
    <row r="23" spans="1:18" s="3" customFormat="1" ht="27" customHeight="1">
      <c r="A23" s="43">
        <v>6</v>
      </c>
      <c r="B23" s="22" t="s">
        <v>33</v>
      </c>
      <c r="C23" s="23" t="s">
        <v>43</v>
      </c>
      <c r="D23" s="46">
        <v>8900000</v>
      </c>
      <c r="E23" s="47">
        <v>43455</v>
      </c>
      <c r="F23" s="48" t="s">
        <v>44</v>
      </c>
      <c r="G23" s="43">
        <v>2.75</v>
      </c>
      <c r="H23" s="28">
        <v>8900000</v>
      </c>
      <c r="I23" s="22"/>
      <c r="J23" s="43"/>
      <c r="K23" s="43"/>
      <c r="L23" s="43"/>
      <c r="M23" s="49">
        <f t="shared" si="0"/>
        <v>8900000</v>
      </c>
      <c r="N23" s="51">
        <v>0</v>
      </c>
      <c r="O23" s="50">
        <v>25124.99</v>
      </c>
      <c r="P23" s="50">
        <f>25193.83+25092.64+23773.97+23344.83+22309.49</f>
        <v>119714.76000000001</v>
      </c>
      <c r="Q23" s="50">
        <f>25124.99+25193.83+25092.64+23773.97+23344.83</f>
        <v>122530.26000000001</v>
      </c>
      <c r="R23" s="51">
        <f t="shared" si="1"/>
        <v>22309.489999999991</v>
      </c>
    </row>
    <row r="24" spans="1:18" s="3" customFormat="1" ht="28.5" customHeight="1">
      <c r="A24" s="43">
        <v>7</v>
      </c>
      <c r="B24" s="22" t="s">
        <v>34</v>
      </c>
      <c r="C24" s="23" t="s">
        <v>43</v>
      </c>
      <c r="D24" s="46">
        <v>4000000</v>
      </c>
      <c r="E24" s="47">
        <v>42729</v>
      </c>
      <c r="F24" s="48" t="s">
        <v>44</v>
      </c>
      <c r="G24" s="43">
        <v>2.75</v>
      </c>
      <c r="H24" s="28">
        <v>3000000</v>
      </c>
      <c r="I24" s="22"/>
      <c r="J24" s="51">
        <v>-3000000</v>
      </c>
      <c r="K24" s="43"/>
      <c r="L24" s="43"/>
      <c r="M24" s="49">
        <f t="shared" si="0"/>
        <v>0</v>
      </c>
      <c r="N24" s="51">
        <v>0</v>
      </c>
      <c r="O24" s="50">
        <v>8469.1</v>
      </c>
      <c r="P24" s="50">
        <f>8492.3+22755.72-2465.51</f>
        <v>28782.510000000002</v>
      </c>
      <c r="Q24" s="50">
        <f>8469.1+8492.3+22755.72-2465.51</f>
        <v>37251.61</v>
      </c>
      <c r="R24" s="51">
        <f t="shared" si="1"/>
        <v>0</v>
      </c>
    </row>
    <row r="25" spans="1:18" s="3" customFormat="1" ht="27" customHeight="1">
      <c r="A25" s="43">
        <v>8</v>
      </c>
      <c r="B25" s="22" t="s">
        <v>35</v>
      </c>
      <c r="C25" s="23" t="s">
        <v>43</v>
      </c>
      <c r="D25" s="46">
        <v>5000000</v>
      </c>
      <c r="E25" s="47">
        <v>43605</v>
      </c>
      <c r="F25" s="48" t="s">
        <v>44</v>
      </c>
      <c r="G25" s="43">
        <v>2.75</v>
      </c>
      <c r="H25" s="28">
        <v>5000000</v>
      </c>
      <c r="I25" s="22"/>
      <c r="J25" s="43"/>
      <c r="K25" s="43"/>
      <c r="L25" s="43"/>
      <c r="M25" s="49">
        <f t="shared" si="0"/>
        <v>5000000</v>
      </c>
      <c r="N25" s="51">
        <v>0</v>
      </c>
      <c r="O25" s="50">
        <v>14115.16</v>
      </c>
      <c r="P25" s="50">
        <f>14153.84+12784.11+14096.99+13356.16+13115.07+12533.43</f>
        <v>80039.600000000006</v>
      </c>
      <c r="Q25" s="50">
        <f>14115.16+14153.84+12784.11+14096.99+13356.16+13115.07</f>
        <v>81621.329999999987</v>
      </c>
      <c r="R25" s="51">
        <f t="shared" si="1"/>
        <v>12533.430000000022</v>
      </c>
    </row>
    <row r="26" spans="1:18" s="3" customFormat="1" ht="27" customHeight="1">
      <c r="A26" s="43">
        <v>9</v>
      </c>
      <c r="B26" s="22" t="s">
        <v>36</v>
      </c>
      <c r="C26" s="23" t="s">
        <v>43</v>
      </c>
      <c r="D26" s="46">
        <v>350000</v>
      </c>
      <c r="E26" s="47"/>
      <c r="F26" s="48" t="s">
        <v>44</v>
      </c>
      <c r="G26" s="43">
        <v>2.75</v>
      </c>
      <c r="H26" s="28">
        <v>350000</v>
      </c>
      <c r="I26" s="22"/>
      <c r="J26" s="43"/>
      <c r="K26" s="43"/>
      <c r="L26" s="43"/>
      <c r="M26" s="49">
        <f t="shared" si="0"/>
        <v>350000</v>
      </c>
      <c r="N26" s="51">
        <v>0</v>
      </c>
      <c r="O26" s="50">
        <v>0</v>
      </c>
      <c r="P26" s="50">
        <v>0</v>
      </c>
      <c r="Q26" s="50">
        <v>0</v>
      </c>
      <c r="R26" s="51">
        <f t="shared" si="1"/>
        <v>0</v>
      </c>
    </row>
    <row r="27" spans="1:18" s="3" customFormat="1" ht="27" customHeight="1">
      <c r="A27" s="43">
        <v>10</v>
      </c>
      <c r="B27" s="22" t="s">
        <v>37</v>
      </c>
      <c r="C27" s="23" t="s">
        <v>43</v>
      </c>
      <c r="D27" s="46">
        <v>1554000</v>
      </c>
      <c r="E27" s="47"/>
      <c r="F27" s="48" t="s">
        <v>44</v>
      </c>
      <c r="G27" s="43">
        <v>2.75</v>
      </c>
      <c r="H27" s="28">
        <v>1554000</v>
      </c>
      <c r="I27" s="22"/>
      <c r="J27" s="43"/>
      <c r="K27" s="43"/>
      <c r="L27" s="43"/>
      <c r="M27" s="49">
        <f t="shared" si="0"/>
        <v>1554000</v>
      </c>
      <c r="N27" s="51">
        <v>0</v>
      </c>
      <c r="O27" s="50">
        <v>0</v>
      </c>
      <c r="P27" s="50">
        <v>0</v>
      </c>
      <c r="Q27" s="50">
        <v>0</v>
      </c>
      <c r="R27" s="51">
        <f t="shared" si="1"/>
        <v>0</v>
      </c>
    </row>
    <row r="28" spans="1:18" s="3" customFormat="1" ht="28.5" customHeight="1">
      <c r="A28" s="43">
        <v>11</v>
      </c>
      <c r="B28" s="22" t="s">
        <v>38</v>
      </c>
      <c r="C28" s="23" t="s">
        <v>43</v>
      </c>
      <c r="D28" s="46">
        <v>17160000</v>
      </c>
      <c r="E28" s="47">
        <v>43671</v>
      </c>
      <c r="F28" s="48" t="s">
        <v>44</v>
      </c>
      <c r="G28" s="43">
        <v>2.75</v>
      </c>
      <c r="H28" s="28">
        <v>17160000</v>
      </c>
      <c r="I28" s="22"/>
      <c r="J28" s="51">
        <v>-1350000</v>
      </c>
      <c r="K28" s="43"/>
      <c r="L28" s="43"/>
      <c r="M28" s="49">
        <f t="shared" si="0"/>
        <v>15810000</v>
      </c>
      <c r="N28" s="51">
        <v>0</v>
      </c>
      <c r="O28" s="50">
        <v>48443.24</v>
      </c>
      <c r="P28" s="50">
        <f>48575.96+39313.87+44574.67+42232.19+41469.85+39630.68</f>
        <v>255797.22</v>
      </c>
      <c r="Q28" s="50">
        <f>48443.24+48575.96+39313.87+44574.67+42232.19+41469.85</f>
        <v>264609.77999999997</v>
      </c>
      <c r="R28" s="51">
        <f t="shared" si="1"/>
        <v>39630.680000000051</v>
      </c>
    </row>
    <row r="29" spans="1:18" s="3" customFormat="1" ht="28.5" customHeight="1">
      <c r="A29" s="43">
        <v>12</v>
      </c>
      <c r="B29" s="22" t="s">
        <v>39</v>
      </c>
      <c r="C29" s="23" t="s">
        <v>43</v>
      </c>
      <c r="D29" s="46"/>
      <c r="E29" s="47">
        <v>42724</v>
      </c>
      <c r="F29" s="48" t="s">
        <v>44</v>
      </c>
      <c r="G29" s="43">
        <v>2.75</v>
      </c>
      <c r="H29" s="28"/>
      <c r="I29" s="22"/>
      <c r="J29" s="43"/>
      <c r="K29" s="43"/>
      <c r="L29" s="43"/>
      <c r="M29" s="49">
        <f t="shared" si="0"/>
        <v>0</v>
      </c>
      <c r="N29" s="51">
        <v>0</v>
      </c>
      <c r="O29" s="50">
        <v>13841.97</v>
      </c>
      <c r="P29" s="50">
        <v>0</v>
      </c>
      <c r="Q29" s="50">
        <v>13841.97</v>
      </c>
      <c r="R29" s="51">
        <f t="shared" si="1"/>
        <v>0</v>
      </c>
    </row>
    <row r="30" spans="1:18" s="3" customFormat="1" ht="27.75" customHeight="1">
      <c r="A30" s="43">
        <v>13</v>
      </c>
      <c r="B30" s="22" t="s">
        <v>40</v>
      </c>
      <c r="C30" s="23" t="s">
        <v>43</v>
      </c>
      <c r="D30" s="46">
        <v>3575000</v>
      </c>
      <c r="E30" s="47">
        <v>43733</v>
      </c>
      <c r="F30" s="48" t="s">
        <v>44</v>
      </c>
      <c r="G30" s="43">
        <v>2.75</v>
      </c>
      <c r="H30" s="28">
        <v>3575000</v>
      </c>
      <c r="I30" s="22"/>
      <c r="J30" s="43"/>
      <c r="K30" s="43"/>
      <c r="L30" s="43"/>
      <c r="M30" s="49">
        <f t="shared" si="0"/>
        <v>3575000</v>
      </c>
      <c r="N30" s="51">
        <v>0</v>
      </c>
      <c r="O30" s="50">
        <v>10092.34</v>
      </c>
      <c r="P30" s="50">
        <f>10119.99+9140.64+10079.35+9549.66+9377.27+8961.4</f>
        <v>57228.310000000005</v>
      </c>
      <c r="Q30" s="50">
        <f>10092.34+10119.99+9140.64+10079.35+9549.66+9377.27</f>
        <v>58359.25</v>
      </c>
      <c r="R30" s="51">
        <f t="shared" si="1"/>
        <v>8961.4000000000087</v>
      </c>
    </row>
    <row r="31" spans="1:18" s="3" customFormat="1" ht="29.25" customHeight="1">
      <c r="A31" s="43">
        <v>14</v>
      </c>
      <c r="B31" s="22" t="s">
        <v>41</v>
      </c>
      <c r="C31" s="23" t="s">
        <v>43</v>
      </c>
      <c r="D31" s="46">
        <v>15000000</v>
      </c>
      <c r="E31" s="47">
        <v>43818</v>
      </c>
      <c r="F31" s="48" t="s">
        <v>44</v>
      </c>
      <c r="G31" s="43">
        <v>2.75</v>
      </c>
      <c r="H31" s="28">
        <v>15000000</v>
      </c>
      <c r="I31" s="22"/>
      <c r="J31" s="51">
        <v>-5000000</v>
      </c>
      <c r="K31" s="43"/>
      <c r="L31" s="43"/>
      <c r="M31" s="49">
        <f t="shared" si="0"/>
        <v>10000000</v>
      </c>
      <c r="N31" s="51">
        <v>0</v>
      </c>
      <c r="O31" s="50">
        <v>17757.79</v>
      </c>
      <c r="P31" s="50">
        <f>42461.51+21459.04+28193.97+26712.33+26230.14+25066.85</f>
        <v>170123.84</v>
      </c>
      <c r="Q31" s="50">
        <f>17757.79+42461.51+21459.04+28193.97+26712.33+26230.14</f>
        <v>162814.78000000003</v>
      </c>
      <c r="R31" s="51">
        <f t="shared" si="1"/>
        <v>25066.849999999977</v>
      </c>
    </row>
    <row r="32" spans="1:18" s="3" customFormat="1" ht="32.25" customHeight="1">
      <c r="A32" s="43">
        <v>15</v>
      </c>
      <c r="B32" s="22" t="s">
        <v>42</v>
      </c>
      <c r="C32" s="23" t="s">
        <v>43</v>
      </c>
      <c r="D32" s="46">
        <v>5000000</v>
      </c>
      <c r="E32" s="47">
        <v>43822</v>
      </c>
      <c r="F32" s="48" t="s">
        <v>44</v>
      </c>
      <c r="G32" s="43">
        <v>2.75</v>
      </c>
      <c r="H32" s="28">
        <v>5000000</v>
      </c>
      <c r="I32" s="22"/>
      <c r="J32" s="51">
        <v>-1368000</v>
      </c>
      <c r="K32" s="43"/>
      <c r="L32" s="43"/>
      <c r="M32" s="49">
        <f t="shared" si="0"/>
        <v>3632000</v>
      </c>
      <c r="N32" s="51">
        <v>0</v>
      </c>
      <c r="O32" s="50">
        <v>2731.97</v>
      </c>
      <c r="P32" s="50">
        <f>14153.84+8162.11+10240.05+9701.92+9526.79+9104.28</f>
        <v>60888.99</v>
      </c>
      <c r="Q32" s="50">
        <f>2731.97+14153.84+8162.11+10240.05+9701.92+9526.79</f>
        <v>54516.68</v>
      </c>
      <c r="R32" s="51">
        <f t="shared" si="1"/>
        <v>9104.2799999999988</v>
      </c>
    </row>
    <row r="33" spans="1:18" s="3" customFormat="1" ht="32.25" customHeight="1">
      <c r="A33" s="77">
        <v>16</v>
      </c>
      <c r="B33" s="22" t="s">
        <v>90</v>
      </c>
      <c r="C33" s="23" t="s">
        <v>43</v>
      </c>
      <c r="D33" s="46" t="s">
        <v>92</v>
      </c>
      <c r="E33" s="47"/>
      <c r="F33" s="48" t="s">
        <v>44</v>
      </c>
      <c r="G33" s="77">
        <v>2.75</v>
      </c>
      <c r="H33" s="28"/>
      <c r="I33" s="22"/>
      <c r="J33" s="51">
        <v>22440000</v>
      </c>
      <c r="K33" s="77"/>
      <c r="L33" s="77"/>
      <c r="M33" s="49">
        <f t="shared" si="0"/>
        <v>22440000</v>
      </c>
      <c r="N33" s="51">
        <v>0</v>
      </c>
      <c r="O33" s="50"/>
      <c r="P33" s="50">
        <v>9775.23</v>
      </c>
      <c r="Q33" s="50"/>
      <c r="R33" s="51">
        <f t="shared" si="1"/>
        <v>9775.23</v>
      </c>
    </row>
    <row r="34" spans="1:18" s="3" customFormat="1" ht="21.75" customHeight="1">
      <c r="A34" s="78">
        <v>17</v>
      </c>
      <c r="B34" s="22" t="s">
        <v>91</v>
      </c>
      <c r="C34" s="23" t="s">
        <v>43</v>
      </c>
      <c r="D34" s="46">
        <v>15000000</v>
      </c>
      <c r="E34" s="67">
        <v>43981</v>
      </c>
      <c r="F34" s="48" t="s">
        <v>44</v>
      </c>
      <c r="G34" s="50">
        <v>2.75</v>
      </c>
      <c r="H34" s="28"/>
      <c r="I34" s="28"/>
      <c r="J34" s="50">
        <v>15000000</v>
      </c>
      <c r="K34" s="28"/>
      <c r="L34" s="28"/>
      <c r="M34" s="49">
        <f t="shared" si="0"/>
        <v>15000000</v>
      </c>
      <c r="N34" s="28">
        <v>0</v>
      </c>
      <c r="O34" s="28"/>
      <c r="P34" s="28">
        <v>12328.77</v>
      </c>
      <c r="Q34" s="28"/>
      <c r="R34" s="51">
        <f t="shared" si="1"/>
        <v>12328.77</v>
      </c>
    </row>
    <row r="35" spans="1:18" s="3" customFormat="1" ht="18.75" customHeight="1">
      <c r="A35" s="45" t="s">
        <v>2</v>
      </c>
      <c r="B35" s="22"/>
      <c r="C35" s="23" t="s">
        <v>43</v>
      </c>
      <c r="D35" s="46">
        <f>D17+D18+D19+D20+D22+D23+D24+D25+D26+D27+D28+D29+D30+D31+D32</f>
        <v>88539000</v>
      </c>
      <c r="E35" s="26"/>
      <c r="F35" s="48" t="s">
        <v>44</v>
      </c>
      <c r="G35" s="28"/>
      <c r="H35" s="28">
        <f>H17+H18+H19+H20+H22+H23+H24+H25+H26+H27+H28+H29+H30+H31+H32</f>
        <v>82435000</v>
      </c>
      <c r="I35" s="79">
        <v>42894</v>
      </c>
      <c r="J35" s="50">
        <f>J17+J18+J19+J20+J22+J23+J24+J25+J26+J27+J28+J29+J30+J31+J32+J33+J34</f>
        <v>15000000</v>
      </c>
      <c r="K35" s="28"/>
      <c r="L35" s="28"/>
      <c r="M35" s="28">
        <f>M17+M18+M19+M20+M22+M23+M24+M25+M26+M27+M28+M29+M30+M31+M32+M33+M34</f>
        <v>97435000</v>
      </c>
      <c r="N35" s="28">
        <f>N17+N18+N19+N20+N22+N23+N24+N25+N26+N27+N28+N29+N30+N31+N32</f>
        <v>0</v>
      </c>
      <c r="O35" s="50">
        <f t="shared" ref="O35" si="2">O17+O18+O19+O20+O22+O23+O24+O25+O26+O27+O28+O29+O30+O31+O32</f>
        <v>199284.36000000002</v>
      </c>
      <c r="P35" s="50">
        <f>P17+P18+P19+P20+P22+P23+P24+P25+P26+P27+P28+P29+P30+P31+P32+P33+P34</f>
        <v>963483.78</v>
      </c>
      <c r="Q35" s="50">
        <f>Q17+Q18+Q19+Q20+Q22+Q23+Q24+Q25+Q26+Q27+Q28+Q29+Q30+Q31+Q32+Q33+Q34</f>
        <v>1000312.34</v>
      </c>
      <c r="R35" s="50">
        <f>R17+R18+R19+R20+R22+R23+R24+R25+R26+R27+R28+R29+R30+R31+R32++R33+R34</f>
        <v>162455.80000000008</v>
      </c>
    </row>
    <row r="36" spans="1:18" s="3" customFormat="1" ht="31.5" customHeight="1">
      <c r="A36" s="80" t="s">
        <v>21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</row>
    <row r="37" spans="1:18" s="3" customFormat="1" ht="31.5" customHeight="1">
      <c r="A37" s="42">
        <v>1</v>
      </c>
      <c r="B37" s="22" t="s">
        <v>45</v>
      </c>
      <c r="C37" s="23" t="s">
        <v>48</v>
      </c>
      <c r="D37" s="51">
        <v>11000000</v>
      </c>
      <c r="E37" s="47">
        <v>42944</v>
      </c>
      <c r="F37" s="48" t="s">
        <v>44</v>
      </c>
      <c r="G37" s="43">
        <v>15.8</v>
      </c>
      <c r="H37" s="51">
        <v>10000000</v>
      </c>
      <c r="I37" s="43"/>
      <c r="J37" s="43"/>
      <c r="K37" s="66" t="s">
        <v>53</v>
      </c>
      <c r="L37" s="51">
        <v>10000000</v>
      </c>
      <c r="M37" s="51">
        <v>0</v>
      </c>
      <c r="N37" s="51">
        <v>0</v>
      </c>
      <c r="O37" s="51">
        <v>0</v>
      </c>
      <c r="P37" s="50">
        <f>134191.78+121205.48+12986.3</f>
        <v>268383.56</v>
      </c>
      <c r="Q37" s="50">
        <f>134191.78+121205.48+12986.3</f>
        <v>268383.56</v>
      </c>
      <c r="R37" s="51">
        <f>M37+P37-Q37</f>
        <v>0</v>
      </c>
    </row>
    <row r="38" spans="1:18" s="3" customFormat="1" ht="31.5" customHeight="1" thickBot="1">
      <c r="A38" s="41">
        <v>2</v>
      </c>
      <c r="B38" s="22" t="s">
        <v>46</v>
      </c>
      <c r="C38" s="23" t="s">
        <v>48</v>
      </c>
      <c r="D38" s="51">
        <v>8000000</v>
      </c>
      <c r="E38" s="47">
        <v>43075</v>
      </c>
      <c r="F38" s="48" t="s">
        <v>44</v>
      </c>
      <c r="G38" s="43">
        <v>13.47</v>
      </c>
      <c r="H38" s="51">
        <v>8000000</v>
      </c>
      <c r="I38" s="43"/>
      <c r="J38" s="43"/>
      <c r="K38" s="63" t="s">
        <v>53</v>
      </c>
      <c r="L38" s="51">
        <v>8000000</v>
      </c>
      <c r="M38" s="51">
        <v>0</v>
      </c>
      <c r="N38" s="51">
        <v>0</v>
      </c>
      <c r="O38" s="51">
        <v>0</v>
      </c>
      <c r="P38" s="50">
        <f>91540.54+82681.78+8858.76</f>
        <v>183081.08000000002</v>
      </c>
      <c r="Q38" s="50">
        <f>91540.54+82681.78+8858.76</f>
        <v>183081.08000000002</v>
      </c>
      <c r="R38" s="51">
        <f t="shared" ref="R38:R39" si="3">M38+P38-Q38</f>
        <v>0</v>
      </c>
    </row>
    <row r="39" spans="1:18" s="3" customFormat="1" ht="47.25" customHeight="1" thickBot="1">
      <c r="A39" s="33">
        <v>3</v>
      </c>
      <c r="B39" s="22" t="s">
        <v>47</v>
      </c>
      <c r="C39" s="23" t="s">
        <v>49</v>
      </c>
      <c r="D39" s="46">
        <v>10000000</v>
      </c>
      <c r="E39" s="47">
        <v>43283</v>
      </c>
      <c r="F39" s="48" t="s">
        <v>44</v>
      </c>
      <c r="G39" s="28">
        <v>16.03</v>
      </c>
      <c r="H39" s="58">
        <v>10000000</v>
      </c>
      <c r="I39" s="28"/>
      <c r="J39" s="62"/>
      <c r="K39" s="65" t="s">
        <v>54</v>
      </c>
      <c r="L39" s="59">
        <v>10000000</v>
      </c>
      <c r="M39" s="51">
        <v>0</v>
      </c>
      <c r="N39" s="51">
        <v>0</v>
      </c>
      <c r="O39" s="51">
        <v>0</v>
      </c>
      <c r="P39" s="50">
        <f>136145.21+122969.86+4391.78</f>
        <v>263506.85000000003</v>
      </c>
      <c r="Q39" s="50">
        <f>136145.21+122969.86+4391.78</f>
        <v>263506.85000000003</v>
      </c>
      <c r="R39" s="51">
        <f t="shared" si="3"/>
        <v>0</v>
      </c>
    </row>
    <row r="40" spans="1:18" s="3" customFormat="1" ht="18.75" customHeight="1">
      <c r="A40" s="35" t="s">
        <v>2</v>
      </c>
      <c r="B40" s="22"/>
      <c r="C40" s="23"/>
      <c r="D40" s="46">
        <f>D37+D38+D39</f>
        <v>29000000</v>
      </c>
      <c r="E40" s="46"/>
      <c r="F40" s="46"/>
      <c r="G40" s="46"/>
      <c r="H40" s="46">
        <f t="shared" ref="H40:R40" si="4">H37+H38+H39</f>
        <v>28000000</v>
      </c>
      <c r="I40" s="46"/>
      <c r="J40" s="46">
        <f t="shared" si="4"/>
        <v>0</v>
      </c>
      <c r="K40" s="64"/>
      <c r="L40" s="46">
        <f t="shared" si="4"/>
        <v>28000000</v>
      </c>
      <c r="M40" s="46">
        <f t="shared" si="4"/>
        <v>0</v>
      </c>
      <c r="N40" s="46">
        <f t="shared" si="4"/>
        <v>0</v>
      </c>
      <c r="O40" s="46">
        <f>O37+O38+O39</f>
        <v>0</v>
      </c>
      <c r="P40" s="46">
        <f t="shared" si="4"/>
        <v>714971.49</v>
      </c>
      <c r="Q40" s="46">
        <f t="shared" si="4"/>
        <v>714971.49</v>
      </c>
      <c r="R40" s="46">
        <f t="shared" si="4"/>
        <v>0</v>
      </c>
    </row>
    <row r="41" spans="1:18" s="3" customFormat="1" ht="15" customHeight="1">
      <c r="A41" s="80" t="s">
        <v>22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2"/>
    </row>
    <row r="42" spans="1:18" s="3" customFormat="1" ht="8.25" customHeight="1">
      <c r="A42" s="33"/>
      <c r="B42" s="22"/>
      <c r="C42" s="23"/>
      <c r="D42" s="24"/>
      <c r="E42" s="25"/>
      <c r="F42" s="26"/>
      <c r="G42" s="28"/>
      <c r="H42" s="27"/>
      <c r="I42" s="28"/>
      <c r="J42" s="28"/>
      <c r="K42" s="28"/>
      <c r="L42" s="29"/>
      <c r="M42" s="28"/>
      <c r="N42" s="28"/>
      <c r="O42" s="28"/>
      <c r="P42" s="28"/>
      <c r="Q42" s="28"/>
      <c r="R42" s="34"/>
    </row>
    <row r="43" spans="1:18" s="3" customFormat="1" ht="18.75" customHeight="1">
      <c r="A43" s="35" t="s">
        <v>52</v>
      </c>
      <c r="B43" s="22"/>
      <c r="C43" s="23"/>
      <c r="D43" s="46">
        <f>D35+D40</f>
        <v>117539000</v>
      </c>
      <c r="E43" s="46"/>
      <c r="F43" s="46"/>
      <c r="G43" s="46"/>
      <c r="H43" s="46">
        <f t="shared" ref="H43:R43" si="5">H35+H40</f>
        <v>110435000</v>
      </c>
      <c r="I43" s="46"/>
      <c r="J43" s="46">
        <f t="shared" si="5"/>
        <v>15000000</v>
      </c>
      <c r="K43" s="46"/>
      <c r="L43" s="46">
        <f t="shared" si="5"/>
        <v>28000000</v>
      </c>
      <c r="M43" s="46">
        <f t="shared" si="5"/>
        <v>97435000</v>
      </c>
      <c r="N43" s="46">
        <f t="shared" si="5"/>
        <v>0</v>
      </c>
      <c r="O43" s="46">
        <f t="shared" si="5"/>
        <v>199284.36000000002</v>
      </c>
      <c r="P43" s="46">
        <f t="shared" si="5"/>
        <v>1678455.27</v>
      </c>
      <c r="Q43" s="46">
        <f t="shared" si="5"/>
        <v>1715283.83</v>
      </c>
      <c r="R43" s="46">
        <f t="shared" si="5"/>
        <v>162455.80000000008</v>
      </c>
    </row>
    <row r="44" spans="1:18" s="19" customFormat="1" ht="33" hidden="1" customHeigh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</row>
    <row r="45" spans="1:18" ht="10.5" customHeight="1">
      <c r="A45" s="14"/>
      <c r="B45" s="15"/>
      <c r="C45" s="15"/>
      <c r="D45" s="16"/>
      <c r="E45" s="18"/>
      <c r="F45" s="18"/>
      <c r="G45" s="20"/>
      <c r="H45" s="20"/>
      <c r="I45" s="21"/>
      <c r="J45" s="21"/>
      <c r="K45" s="21"/>
      <c r="L45" s="21"/>
      <c r="M45" s="20"/>
      <c r="N45" s="20"/>
      <c r="O45" s="20"/>
      <c r="P45" s="20"/>
      <c r="Q45" s="20"/>
      <c r="R45" s="20"/>
    </row>
    <row r="46" spans="1:18">
      <c r="A46" s="36" t="s">
        <v>78</v>
      </c>
      <c r="B46" s="37"/>
      <c r="C46" s="37"/>
      <c r="D46" s="38"/>
      <c r="E46" s="39"/>
      <c r="F46" s="39"/>
      <c r="H46" s="36"/>
      <c r="I46" s="36"/>
    </row>
    <row r="48" spans="1:18">
      <c r="A48" s="36" t="s">
        <v>50</v>
      </c>
      <c r="B48" s="37"/>
      <c r="C48" s="37"/>
      <c r="D48" s="38"/>
      <c r="E48" s="39"/>
      <c r="F48" s="39"/>
      <c r="H48" s="36"/>
      <c r="I48" s="36"/>
    </row>
    <row r="50" spans="1:9">
      <c r="A50" s="36" t="s">
        <v>51</v>
      </c>
      <c r="B50" s="37"/>
      <c r="C50" s="37"/>
      <c r="D50" s="38"/>
      <c r="E50" s="39"/>
      <c r="F50" s="39"/>
      <c r="H50" s="36"/>
      <c r="I50" s="36"/>
    </row>
    <row r="54" spans="1:9">
      <c r="A54" s="36"/>
      <c r="B54" s="37"/>
      <c r="C54" s="37"/>
      <c r="D54" s="38"/>
      <c r="E54" s="39"/>
      <c r="F54" s="39"/>
      <c r="H54" s="36"/>
      <c r="I54" s="36"/>
    </row>
    <row r="65" spans="2:2" ht="16.5" customHeight="1"/>
    <row r="66" spans="2:2" ht="30" customHeight="1">
      <c r="B66" s="17"/>
    </row>
  </sheetData>
  <mergeCells count="25">
    <mergeCell ref="Q1:R2"/>
    <mergeCell ref="A3:R3"/>
    <mergeCell ref="E7:L7"/>
    <mergeCell ref="A10:A11"/>
    <mergeCell ref="I10:I11"/>
    <mergeCell ref="J10:J11"/>
    <mergeCell ref="K10:K11"/>
    <mergeCell ref="L10:L11"/>
    <mergeCell ref="M10:N10"/>
    <mergeCell ref="A41:R41"/>
    <mergeCell ref="A44:R44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6:R36"/>
    <mergeCell ref="G10:G11"/>
  </mergeCells>
  <phoneticPr fontId="7" type="noConversion"/>
  <pageMargins left="0.23" right="0.16" top="0.26" bottom="0.26" header="0.5" footer="0.5"/>
  <pageSetup paperSize="9"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B16" zoomScale="60" zoomScaleNormal="100" workbookViewId="0">
      <selection activeCell="P18" sqref="P18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7" max="7" width="9.28515625" bestFit="1" customWidth="1"/>
    <col min="8" max="8" width="14.42578125" customWidth="1"/>
    <col min="9" max="12" width="9.28515625" bestFit="1" customWidth="1"/>
    <col min="13" max="13" width="14.5703125" customWidth="1"/>
    <col min="14" max="14" width="11.5703125" bestFit="1" customWidth="1"/>
    <col min="15" max="15" width="10.7109375" customWidth="1"/>
    <col min="16" max="16" width="11.42578125" customWidth="1"/>
    <col min="17" max="17" width="10.42578125" bestFit="1" customWidth="1"/>
    <col min="18" max="18" width="11.5703125" bestFit="1" customWidth="1"/>
  </cols>
  <sheetData>
    <row r="1" spans="1:20" ht="18.75">
      <c r="A1" s="90" t="s">
        <v>67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93" t="s">
        <v>23</v>
      </c>
      <c r="N8" s="94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45">
      <c r="A9" s="9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6" t="s">
        <v>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0" t="s">
        <v>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3"/>
      <c r="T14" s="3"/>
    </row>
    <row r="15" spans="1:20" ht="105">
      <c r="A15" s="43">
        <v>1</v>
      </c>
      <c r="B15" s="22" t="s">
        <v>60</v>
      </c>
      <c r="C15" s="22" t="s">
        <v>64</v>
      </c>
      <c r="D15" s="46">
        <v>800000</v>
      </c>
      <c r="E15" s="67">
        <v>42819</v>
      </c>
      <c r="F15" s="26" t="s">
        <v>74</v>
      </c>
      <c r="G15" s="50">
        <f>8.25*1/3</f>
        <v>2.75</v>
      </c>
      <c r="H15" s="28">
        <v>500000</v>
      </c>
      <c r="I15" s="43"/>
      <c r="J15" s="43"/>
      <c r="K15" s="43"/>
      <c r="L15" s="43"/>
      <c r="M15" s="51">
        <f>H15+J15-L15</f>
        <v>500000</v>
      </c>
      <c r="N15" s="51">
        <v>500000</v>
      </c>
      <c r="O15" s="50">
        <v>2943.64</v>
      </c>
      <c r="P15" s="50">
        <f>1415.53+1278.54+40.6+17+2027.4+39.81+34+1335.62+50.62+27.63+1309.36+56.74+26.21+1267.12+20.97</f>
        <v>8947.15</v>
      </c>
      <c r="Q15" s="50">
        <f>8.86+10593.84</f>
        <v>10602.7</v>
      </c>
      <c r="R15" s="51">
        <f>O15+P15-Q15</f>
        <v>1288.0899999999983</v>
      </c>
      <c r="S15" s="3"/>
      <c r="T15" s="3"/>
    </row>
    <row r="16" spans="1:20" ht="105">
      <c r="A16" s="43">
        <v>2</v>
      </c>
      <c r="B16" s="22" t="s">
        <v>61</v>
      </c>
      <c r="C16" s="22" t="s">
        <v>64</v>
      </c>
      <c r="D16" s="46">
        <v>1500000</v>
      </c>
      <c r="E16" s="67">
        <v>43459</v>
      </c>
      <c r="F16" s="26" t="s">
        <v>74</v>
      </c>
      <c r="G16" s="50">
        <v>2.75</v>
      </c>
      <c r="H16" s="28">
        <v>1361500</v>
      </c>
      <c r="I16" s="43"/>
      <c r="J16" s="43"/>
      <c r="K16" s="43"/>
      <c r="L16" s="43"/>
      <c r="M16" s="51">
        <f t="shared" ref="M16:M18" si="0">H16+J16-L16</f>
        <v>1361500</v>
      </c>
      <c r="N16" s="43"/>
      <c r="O16" s="50">
        <v>36809.01</v>
      </c>
      <c r="P16" s="50">
        <f>3854.47+3481.46+36+379.53+3842.04+72+311.92+3636.88+58.5+317.11+3565.39+55.5+325.59+3450.38+55.5+316.54</f>
        <v>23758.81</v>
      </c>
      <c r="Q16" s="50">
        <f>3565.39+1556.15+292.61</f>
        <v>5414.15</v>
      </c>
      <c r="R16" s="51">
        <f t="shared" ref="R16:R18" si="1">O16+P16-Q16</f>
        <v>55153.670000000006</v>
      </c>
      <c r="S16" s="3"/>
      <c r="T16" s="3"/>
    </row>
    <row r="17" spans="1:20" ht="105">
      <c r="A17" s="43">
        <v>3</v>
      </c>
      <c r="B17" s="22" t="s">
        <v>62</v>
      </c>
      <c r="C17" s="22" t="s">
        <v>64</v>
      </c>
      <c r="D17" s="46">
        <v>1750000</v>
      </c>
      <c r="E17" s="67">
        <v>43671</v>
      </c>
      <c r="F17" s="26" t="s">
        <v>74</v>
      </c>
      <c r="G17" s="50">
        <v>2.75</v>
      </c>
      <c r="H17" s="28">
        <v>1750000</v>
      </c>
      <c r="I17" s="43"/>
      <c r="J17" s="43"/>
      <c r="K17" s="43"/>
      <c r="L17" s="43"/>
      <c r="M17" s="51">
        <f t="shared" si="0"/>
        <v>1750000</v>
      </c>
      <c r="N17" s="43"/>
      <c r="O17" s="50">
        <v>19578.36</v>
      </c>
      <c r="P17" s="50">
        <f>4954.34+4474.89+10+182.73+4938.36+16.67+169.72+4674.66+97.5+190.91+4582.76+18.5+211.73+4434.93+15.42+212.5</f>
        <v>29185.62</v>
      </c>
      <c r="Q17" s="50">
        <f>4954.34+3790+897.76</f>
        <v>9642.1</v>
      </c>
      <c r="R17" s="51">
        <f t="shared" si="1"/>
        <v>39121.879999999997</v>
      </c>
      <c r="S17" s="3"/>
      <c r="T17" s="3"/>
    </row>
    <row r="18" spans="1:20" ht="105">
      <c r="A18" s="43">
        <v>4</v>
      </c>
      <c r="B18" s="22" t="s">
        <v>63</v>
      </c>
      <c r="C18" s="22" t="s">
        <v>64</v>
      </c>
      <c r="D18" s="46">
        <v>1420000</v>
      </c>
      <c r="E18" s="67">
        <v>43824</v>
      </c>
      <c r="F18" s="26" t="s">
        <v>74</v>
      </c>
      <c r="G18" s="50">
        <v>2.75</v>
      </c>
      <c r="H18" s="28">
        <v>1420000</v>
      </c>
      <c r="I18" s="43"/>
      <c r="J18" s="43"/>
      <c r="K18" s="43"/>
      <c r="L18" s="43"/>
      <c r="M18" s="51">
        <f t="shared" si="0"/>
        <v>1420000</v>
      </c>
      <c r="N18" s="43"/>
      <c r="O18" s="50">
        <v>11174.12</v>
      </c>
      <c r="P18" s="50">
        <f>4020.09+3631.05+141.61+4007.12+132.62+3793.15+150.05+3718.58+166.67+3598.63+164.06</f>
        <v>23523.629999999997</v>
      </c>
      <c r="Q18" s="50">
        <f>21.61+3718.58+590.95</f>
        <v>4331.1400000000003</v>
      </c>
      <c r="R18" s="51">
        <f t="shared" si="1"/>
        <v>30366.61</v>
      </c>
      <c r="S18" s="3"/>
      <c r="T18" s="3"/>
    </row>
    <row r="19" spans="1:20" ht="15">
      <c r="A19" s="44"/>
      <c r="B19" s="22"/>
      <c r="C19" s="22"/>
      <c r="D19" s="46">
        <f>D15+D16+D17+D18</f>
        <v>5470000</v>
      </c>
      <c r="E19" s="46"/>
      <c r="F19" s="46"/>
      <c r="G19" s="46"/>
      <c r="H19" s="46">
        <f t="shared" ref="H19:R19" si="2">H15+H16+H17+H18</f>
        <v>5031500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0</v>
      </c>
      <c r="M19" s="46">
        <f t="shared" si="2"/>
        <v>5031500</v>
      </c>
      <c r="N19" s="46">
        <f t="shared" si="2"/>
        <v>500000</v>
      </c>
      <c r="O19" s="46">
        <f t="shared" si="2"/>
        <v>70505.13</v>
      </c>
      <c r="P19" s="46">
        <f t="shared" si="2"/>
        <v>85415.209999999992</v>
      </c>
      <c r="Q19" s="46">
        <f t="shared" si="2"/>
        <v>29990.09</v>
      </c>
      <c r="R19" s="46">
        <f t="shared" si="2"/>
        <v>125930.25</v>
      </c>
      <c r="S19" s="3"/>
      <c r="T19" s="3"/>
    </row>
    <row r="20" spans="1:20" ht="15">
      <c r="A20" s="45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95" t="s">
        <v>21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3"/>
      <c r="T21" s="3"/>
    </row>
    <row r="22" spans="1:20" ht="15">
      <c r="A22" s="44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5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95" t="s">
        <v>22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52</v>
      </c>
      <c r="B26" s="22"/>
      <c r="C26" s="23"/>
      <c r="D26" s="46">
        <f>D19</f>
        <v>5470000</v>
      </c>
      <c r="E26" s="25"/>
      <c r="F26" s="26"/>
      <c r="G26" s="28"/>
      <c r="H26" s="27">
        <f>H19</f>
        <v>5031500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5031500</v>
      </c>
      <c r="N26" s="27">
        <f t="shared" si="3"/>
        <v>500000</v>
      </c>
      <c r="O26" s="27">
        <f t="shared" si="3"/>
        <v>70505.13</v>
      </c>
      <c r="P26" s="27">
        <f t="shared" si="3"/>
        <v>85415.209999999992</v>
      </c>
      <c r="Q26" s="27">
        <f t="shared" si="3"/>
        <v>29990.09</v>
      </c>
      <c r="R26" s="27">
        <f t="shared" si="3"/>
        <v>125930.25</v>
      </c>
      <c r="S26" s="3"/>
      <c r="T26" s="3"/>
    </row>
    <row r="27" spans="1:20" ht="34.5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80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81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tabSelected="1" view="pageBreakPreview" topLeftCell="A9" zoomScale="60" zoomScaleNormal="100" workbookViewId="0">
      <selection activeCell="A32" sqref="A32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8" width="9.28515625" bestFit="1" customWidth="1"/>
  </cols>
  <sheetData>
    <row r="1" spans="1:20" ht="18.75">
      <c r="A1" s="90" t="s">
        <v>68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93" t="s">
        <v>23</v>
      </c>
      <c r="N8" s="94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9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6" t="s">
        <v>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0" t="s">
        <v>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3"/>
      <c r="T14" s="3"/>
    </row>
    <row r="15" spans="1:20" ht="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"/>
      <c r="T15" s="3"/>
    </row>
    <row r="16" spans="1:20" ht="75">
      <c r="A16" s="43">
        <v>1</v>
      </c>
      <c r="B16" s="22" t="s">
        <v>65</v>
      </c>
      <c r="C16" s="22" t="s">
        <v>64</v>
      </c>
      <c r="D16" s="46">
        <v>500000</v>
      </c>
      <c r="E16" s="67">
        <v>42819</v>
      </c>
      <c r="F16" s="26" t="s">
        <v>74</v>
      </c>
      <c r="G16" s="43">
        <v>2.75</v>
      </c>
      <c r="H16" s="28">
        <v>38000</v>
      </c>
      <c r="I16" s="43"/>
      <c r="J16" s="43"/>
      <c r="K16" s="43"/>
      <c r="L16" s="28">
        <v>38000</v>
      </c>
      <c r="M16" s="49">
        <f>H16+J16-L16</f>
        <v>0</v>
      </c>
      <c r="N16" s="43"/>
      <c r="O16" s="50">
        <v>114.5</v>
      </c>
      <c r="P16" s="50">
        <f>107.58+97.17+14+1.07+69.41+0.8+0.74</f>
        <v>290.77000000000004</v>
      </c>
      <c r="Q16" s="50">
        <f>107.58+111.17+1.07+0.8+69.41+114.5+0.74</f>
        <v>405.27</v>
      </c>
      <c r="R16" s="51">
        <f>O16+P16-Q16</f>
        <v>0</v>
      </c>
      <c r="S16" s="3"/>
      <c r="T16" s="3"/>
    </row>
    <row r="17" spans="1:20" ht="75">
      <c r="A17" s="68">
        <v>2</v>
      </c>
      <c r="B17" s="22" t="s">
        <v>66</v>
      </c>
      <c r="C17" s="22" t="s">
        <v>64</v>
      </c>
      <c r="D17" s="46">
        <v>700000</v>
      </c>
      <c r="E17" s="67">
        <v>43459</v>
      </c>
      <c r="F17" s="26" t="s">
        <v>74</v>
      </c>
      <c r="G17" s="50">
        <v>2.75</v>
      </c>
      <c r="H17" s="28">
        <v>480000</v>
      </c>
      <c r="I17" s="28"/>
      <c r="J17" s="28"/>
      <c r="K17" s="28"/>
      <c r="L17" s="28">
        <f>60000+20000+20000+20000</f>
        <v>120000</v>
      </c>
      <c r="M17" s="49">
        <f>H17+J17-L17</f>
        <v>360000</v>
      </c>
      <c r="N17" s="28"/>
      <c r="O17" s="50">
        <v>3318.07</v>
      </c>
      <c r="P17" s="50">
        <f>1358.9+1227.4+20+30.84+1354.52+23.13+1102.33+21.48+1001.87+924.16</f>
        <v>7064.63</v>
      </c>
      <c r="Q17" s="50">
        <f>1372.52+30.84+1247.4+23.13+1354.52+41.48+4428.26+960.39</f>
        <v>9458.5400000000009</v>
      </c>
      <c r="R17" s="51">
        <f>O17+P17-Q17</f>
        <v>924.15999999999985</v>
      </c>
      <c r="S17" s="3"/>
      <c r="T17" s="3"/>
    </row>
    <row r="18" spans="1:20" ht="15">
      <c r="A18" s="35" t="s">
        <v>2</v>
      </c>
      <c r="B18" s="22"/>
      <c r="C18" s="23"/>
      <c r="D18" s="46">
        <f>D16+D17</f>
        <v>1200000</v>
      </c>
      <c r="E18" s="25"/>
      <c r="F18" s="26"/>
      <c r="G18" s="28"/>
      <c r="H18" s="27">
        <f>H16+H17</f>
        <v>518000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158000</v>
      </c>
      <c r="M18" s="27">
        <f t="shared" si="0"/>
        <v>360000</v>
      </c>
      <c r="N18" s="27">
        <f t="shared" si="0"/>
        <v>0</v>
      </c>
      <c r="O18" s="27">
        <f t="shared" si="0"/>
        <v>3432.57</v>
      </c>
      <c r="P18" s="27">
        <f t="shared" si="0"/>
        <v>7355.4000000000005</v>
      </c>
      <c r="Q18" s="27">
        <f t="shared" si="0"/>
        <v>9863.8100000000013</v>
      </c>
      <c r="R18" s="27">
        <f t="shared" si="0"/>
        <v>924.15999999999985</v>
      </c>
      <c r="S18" s="3"/>
      <c r="T18" s="3"/>
    </row>
    <row r="19" spans="1:20" ht="15">
      <c r="A19" s="80" t="s">
        <v>21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80" t="s">
        <v>22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52</v>
      </c>
      <c r="B24" s="22"/>
      <c r="C24" s="23"/>
      <c r="D24" s="46">
        <f>D18</f>
        <v>1200000</v>
      </c>
      <c r="E24" s="25"/>
      <c r="F24" s="26"/>
      <c r="G24" s="28"/>
      <c r="H24" s="27">
        <f>H18</f>
        <v>518000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158000</v>
      </c>
      <c r="M24" s="27">
        <f t="shared" si="1"/>
        <v>360000</v>
      </c>
      <c r="N24" s="27">
        <f t="shared" si="1"/>
        <v>0</v>
      </c>
      <c r="O24" s="27">
        <f t="shared" si="1"/>
        <v>3432.57</v>
      </c>
      <c r="P24" s="27">
        <f t="shared" si="1"/>
        <v>7355.4000000000005</v>
      </c>
      <c r="Q24" s="27">
        <f t="shared" si="1"/>
        <v>9863.8100000000013</v>
      </c>
      <c r="R24" s="27">
        <f t="shared" si="1"/>
        <v>924.15999999999985</v>
      </c>
      <c r="S24" s="3"/>
      <c r="T24" s="3"/>
    </row>
    <row r="25" spans="1:20" ht="15" thickBo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94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93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95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C17" zoomScale="60" zoomScaleNormal="100" workbookViewId="0">
      <selection activeCell="C28" sqref="C28"/>
    </sheetView>
  </sheetViews>
  <sheetFormatPr defaultRowHeight="12.75"/>
  <cols>
    <col min="2" max="2" width="14.85546875" customWidth="1"/>
    <col min="3" max="3" width="14.42578125" customWidth="1"/>
    <col min="4" max="4" width="12.85546875" customWidth="1"/>
    <col min="5" max="5" width="16.710937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9.42578125" bestFit="1" customWidth="1"/>
    <col min="16" max="16" width="11.28515625" customWidth="1"/>
    <col min="17" max="17" width="10.42578125" customWidth="1"/>
  </cols>
  <sheetData>
    <row r="1" spans="1:20" ht="18.75">
      <c r="A1" s="90" t="s">
        <v>89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93" t="s">
        <v>23</v>
      </c>
      <c r="N8" s="94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9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6" t="s">
        <v>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0" t="s">
        <v>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3"/>
      <c r="T14" s="3"/>
    </row>
    <row r="15" spans="1:20" ht="131.25">
      <c r="A15" s="60">
        <v>1</v>
      </c>
      <c r="B15" s="69" t="s">
        <v>70</v>
      </c>
      <c r="C15" s="71" t="s">
        <v>64</v>
      </c>
      <c r="D15" s="72">
        <v>780000</v>
      </c>
      <c r="E15" s="73">
        <v>42389</v>
      </c>
      <c r="F15" s="74" t="s">
        <v>74</v>
      </c>
      <c r="G15" s="43">
        <v>2.75</v>
      </c>
      <c r="H15" s="75">
        <v>113382</v>
      </c>
      <c r="I15" s="43"/>
      <c r="J15" s="43"/>
      <c r="K15" s="75"/>
      <c r="L15" s="75">
        <f>8154+8154+8154+8154+8154</f>
        <v>40770</v>
      </c>
      <c r="M15" s="49">
        <f>H15+J15-L15</f>
        <v>72612</v>
      </c>
      <c r="N15" s="43"/>
      <c r="O15" s="76">
        <v>322.10000000000002</v>
      </c>
      <c r="P15" s="76">
        <f>317.88+257.91+274.82+65.23+1.81+241.16+2.22+195.66+184.02+30.17+0.72</f>
        <v>1571.6000000000001</v>
      </c>
      <c r="Q15" s="76">
        <f>317.88+322.1+257.91+274.82+65.23+1.81+241.16+2.22+195.66</f>
        <v>1678.7900000000002</v>
      </c>
      <c r="R15" s="51">
        <f>O15+P15-Q15</f>
        <v>214.91000000000008</v>
      </c>
      <c r="S15" s="3"/>
      <c r="T15" s="3"/>
    </row>
    <row r="16" spans="1:20" ht="131.25">
      <c r="A16" s="60">
        <v>2</v>
      </c>
      <c r="B16" s="69" t="s">
        <v>71</v>
      </c>
      <c r="C16" s="71" t="s">
        <v>64</v>
      </c>
      <c r="D16" s="72">
        <v>500000</v>
      </c>
      <c r="E16" s="73">
        <v>42819</v>
      </c>
      <c r="F16" s="74" t="s">
        <v>74</v>
      </c>
      <c r="G16" s="43">
        <v>2.75</v>
      </c>
      <c r="H16" s="75">
        <v>159279</v>
      </c>
      <c r="I16" s="43"/>
      <c r="J16" s="43"/>
      <c r="K16" s="75"/>
      <c r="L16" s="75">
        <v>42565</v>
      </c>
      <c r="M16" s="49">
        <f t="shared" ref="M16:M18" si="0">H16+J16-L16</f>
        <v>116714</v>
      </c>
      <c r="N16" s="43"/>
      <c r="O16" s="76">
        <v>454.81</v>
      </c>
      <c r="P16" s="76">
        <f>450.93+373.86+401.43+2.62+68.1+361.04+3.07+311.45+295.85+31.5+1.15</f>
        <v>2301</v>
      </c>
      <c r="Q16" s="76">
        <f>450.93+454.81+373.86+401.43+2.62+68.1+361.04+3.07+311.45</f>
        <v>2427.31</v>
      </c>
      <c r="R16" s="51">
        <f t="shared" ref="R16:R18" si="1">O16+P16-Q16</f>
        <v>328.5</v>
      </c>
      <c r="S16" s="3"/>
      <c r="T16" s="3"/>
    </row>
    <row r="17" spans="1:20" ht="131.25">
      <c r="A17" s="60">
        <v>3</v>
      </c>
      <c r="B17" s="69" t="s">
        <v>72</v>
      </c>
      <c r="C17" s="71" t="s">
        <v>64</v>
      </c>
      <c r="D17" s="72">
        <v>204000</v>
      </c>
      <c r="E17" s="73">
        <v>43758</v>
      </c>
      <c r="F17" s="74" t="s">
        <v>74</v>
      </c>
      <c r="G17" s="43">
        <v>2.75</v>
      </c>
      <c r="H17" s="75">
        <v>204000</v>
      </c>
      <c r="I17" s="43"/>
      <c r="J17" s="43"/>
      <c r="K17" s="75"/>
      <c r="L17" s="75">
        <v>0</v>
      </c>
      <c r="M17" s="49">
        <f t="shared" si="0"/>
        <v>204000</v>
      </c>
      <c r="N17" s="43"/>
      <c r="O17" s="76">
        <v>577.53</v>
      </c>
      <c r="P17" s="76">
        <f>577.53+521.64+575.67+3.65+544.93+3.77+534.22+516.99+19.77</f>
        <v>3298.1699999999996</v>
      </c>
      <c r="Q17" s="76">
        <f>577.53+577.53+521.64+575.67+3.65+544.93+3.77+534.22</f>
        <v>3338.9399999999996</v>
      </c>
      <c r="R17" s="51">
        <f t="shared" si="1"/>
        <v>536.76000000000022</v>
      </c>
      <c r="S17" s="3"/>
      <c r="T17" s="3"/>
    </row>
    <row r="18" spans="1:20" ht="131.25">
      <c r="A18" s="70">
        <v>4</v>
      </c>
      <c r="B18" s="69" t="s">
        <v>73</v>
      </c>
      <c r="C18" s="71" t="s">
        <v>64</v>
      </c>
      <c r="D18" s="72">
        <v>216000</v>
      </c>
      <c r="E18" s="73">
        <v>43758</v>
      </c>
      <c r="F18" s="74" t="s">
        <v>74</v>
      </c>
      <c r="G18" s="43">
        <v>2.75</v>
      </c>
      <c r="H18" s="75">
        <v>216000</v>
      </c>
      <c r="I18" s="28"/>
      <c r="J18" s="28"/>
      <c r="K18" s="75"/>
      <c r="L18" s="75">
        <v>0</v>
      </c>
      <c r="M18" s="49">
        <f t="shared" si="0"/>
        <v>216000</v>
      </c>
      <c r="N18" s="28"/>
      <c r="O18" s="76">
        <v>611.51</v>
      </c>
      <c r="P18" s="76">
        <f>611.51+552.33+609.53+3.87+576.99+3.99+565.64+547.4+2.09</f>
        <v>3473.35</v>
      </c>
      <c r="Q18" s="76">
        <f>611.51+611.51+552.33+609.53+3.87+576.99+3.99+565.64</f>
        <v>3535.3699999999994</v>
      </c>
      <c r="R18" s="51">
        <f t="shared" si="1"/>
        <v>549.49000000000024</v>
      </c>
      <c r="S18" s="3"/>
      <c r="T18" s="3"/>
    </row>
    <row r="19" spans="1:20" ht="15">
      <c r="A19" s="35" t="s">
        <v>2</v>
      </c>
      <c r="B19" s="22"/>
      <c r="C19" s="23"/>
      <c r="D19" s="46">
        <f>D15+D16+D17+D18</f>
        <v>1700000</v>
      </c>
      <c r="E19" s="46"/>
      <c r="F19" s="46"/>
      <c r="G19" s="46"/>
      <c r="H19" s="46">
        <f t="shared" ref="H19:R19" si="2">H15+H16+H17+H18</f>
        <v>692661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83335</v>
      </c>
      <c r="M19" s="46">
        <f t="shared" si="2"/>
        <v>609326</v>
      </c>
      <c r="N19" s="46">
        <f t="shared" si="2"/>
        <v>0</v>
      </c>
      <c r="O19" s="46">
        <f t="shared" si="2"/>
        <v>1965.95</v>
      </c>
      <c r="P19" s="46">
        <f t="shared" si="2"/>
        <v>10644.12</v>
      </c>
      <c r="Q19" s="46">
        <f t="shared" si="2"/>
        <v>10980.41</v>
      </c>
      <c r="R19" s="46">
        <f t="shared" si="2"/>
        <v>1629.6600000000005</v>
      </c>
      <c r="S19" s="3"/>
      <c r="T19" s="3"/>
    </row>
    <row r="20" spans="1:20" ht="15">
      <c r="A20" s="80" t="s">
        <v>21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80" t="s">
        <v>22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52</v>
      </c>
      <c r="B25" s="22"/>
      <c r="C25" s="23"/>
      <c r="D25" s="46">
        <f>D19</f>
        <v>1700000</v>
      </c>
      <c r="E25" s="46"/>
      <c r="F25" s="26"/>
      <c r="G25" s="28"/>
      <c r="H25" s="27">
        <f>H19</f>
        <v>692661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83335</v>
      </c>
      <c r="M25" s="27">
        <f t="shared" si="3"/>
        <v>609326</v>
      </c>
      <c r="N25" s="27">
        <f t="shared" si="3"/>
        <v>0</v>
      </c>
      <c r="O25" s="27">
        <f t="shared" si="3"/>
        <v>1965.95</v>
      </c>
      <c r="P25" s="27">
        <f t="shared" si="3"/>
        <v>10644.12</v>
      </c>
      <c r="Q25" s="27">
        <f t="shared" si="3"/>
        <v>10980.41</v>
      </c>
      <c r="R25" s="27">
        <f t="shared" si="3"/>
        <v>1629.6600000000005</v>
      </c>
      <c r="S25" s="3"/>
      <c r="T25" s="3"/>
    </row>
    <row r="26" spans="1:20" ht="15" thickBot="1">
      <c r="A26" s="96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8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75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76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77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topLeftCell="C12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90" t="s">
        <v>88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93" t="s">
        <v>23</v>
      </c>
      <c r="N8" s="94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9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6" t="s">
        <v>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0" t="s">
        <v>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3"/>
      <c r="T14" s="3"/>
    </row>
    <row r="15" spans="1:20" ht="150">
      <c r="A15" s="43">
        <v>1</v>
      </c>
      <c r="B15" s="69" t="s">
        <v>85</v>
      </c>
      <c r="C15" s="69" t="s">
        <v>64</v>
      </c>
      <c r="D15" s="72">
        <v>1100000</v>
      </c>
      <c r="E15" s="73">
        <v>42819</v>
      </c>
      <c r="F15" s="61" t="s">
        <v>87</v>
      </c>
      <c r="G15" s="43">
        <v>2.75</v>
      </c>
      <c r="H15" s="75">
        <v>118000</v>
      </c>
      <c r="I15" s="43"/>
      <c r="J15" s="43"/>
      <c r="K15" s="43"/>
      <c r="L15" s="75">
        <f>31000+31000+56000</f>
        <v>118000</v>
      </c>
      <c r="M15" s="49">
        <f>H15+J15-L15</f>
        <v>0</v>
      </c>
      <c r="N15" s="43"/>
      <c r="O15" s="76">
        <v>348.22</v>
      </c>
      <c r="P15" s="76">
        <f>334.06+180+76.71+0.5</f>
        <v>591.27</v>
      </c>
      <c r="Q15" s="76">
        <f>682.28+180+76.71+0.5</f>
        <v>939.49</v>
      </c>
      <c r="R15" s="51">
        <f>O15+P15-Q15</f>
        <v>0</v>
      </c>
      <c r="S15" s="3"/>
      <c r="T15" s="3"/>
    </row>
    <row r="16" spans="1:20" ht="150">
      <c r="A16" s="68">
        <v>2</v>
      </c>
      <c r="B16" s="69" t="s">
        <v>86</v>
      </c>
      <c r="C16" s="69" t="s">
        <v>64</v>
      </c>
      <c r="D16" s="72">
        <v>836000</v>
      </c>
      <c r="E16" s="73">
        <v>43758</v>
      </c>
      <c r="F16" s="61" t="s">
        <v>87</v>
      </c>
      <c r="G16" s="43">
        <v>2.75</v>
      </c>
      <c r="H16" s="75">
        <v>836000</v>
      </c>
      <c r="I16" s="28"/>
      <c r="J16" s="28"/>
      <c r="K16" s="28"/>
      <c r="L16" s="75"/>
      <c r="M16" s="49">
        <f>H16+J16-L16</f>
        <v>836000</v>
      </c>
      <c r="N16" s="28"/>
      <c r="O16" s="76">
        <v>2366.7600000000002</v>
      </c>
      <c r="P16" s="76">
        <f>2366.76+2137.72+2282.77+2233.15+14.84+2189.25+2118.63+6.4</f>
        <v>13349.519999999999</v>
      </c>
      <c r="Q16" s="76">
        <f>4733.52+2137.72+2282.77+2233.15+14.84+2189.25</f>
        <v>13591.25</v>
      </c>
      <c r="R16" s="51">
        <f>O16+P16-Q16</f>
        <v>2125.0299999999988</v>
      </c>
      <c r="S16" s="3"/>
      <c r="T16" s="3"/>
    </row>
    <row r="17" spans="1:20" ht="15">
      <c r="A17" s="45" t="s">
        <v>2</v>
      </c>
      <c r="B17" s="22"/>
      <c r="C17" s="22"/>
      <c r="D17" s="46">
        <f>D15+D16</f>
        <v>1936000</v>
      </c>
      <c r="E17" s="46"/>
      <c r="F17" s="46"/>
      <c r="G17" s="46"/>
      <c r="H17" s="46">
        <f t="shared" ref="H17:R17" si="0">H15+H16</f>
        <v>954000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6">
        <f t="shared" si="0"/>
        <v>118000</v>
      </c>
      <c r="M17" s="46">
        <f t="shared" si="0"/>
        <v>836000</v>
      </c>
      <c r="N17" s="46">
        <f t="shared" si="0"/>
        <v>0</v>
      </c>
      <c r="O17" s="46">
        <f t="shared" si="0"/>
        <v>2714.9800000000005</v>
      </c>
      <c r="P17" s="46">
        <f t="shared" si="0"/>
        <v>13940.789999999999</v>
      </c>
      <c r="Q17" s="46">
        <f t="shared" si="0"/>
        <v>14530.74</v>
      </c>
      <c r="R17" s="46">
        <f t="shared" si="0"/>
        <v>2125.0299999999988</v>
      </c>
      <c r="S17" s="3"/>
      <c r="T17" s="3"/>
    </row>
    <row r="18" spans="1:20" ht="15">
      <c r="A18" s="80" t="s">
        <v>21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80" t="s">
        <v>22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52</v>
      </c>
      <c r="B23" s="22"/>
      <c r="C23" s="23"/>
      <c r="D23" s="46">
        <f>D17</f>
        <v>1936000</v>
      </c>
      <c r="E23" s="46"/>
      <c r="F23" s="46"/>
      <c r="G23" s="46"/>
      <c r="H23" s="46">
        <f t="shared" ref="H23:R23" si="1">H17</f>
        <v>954000</v>
      </c>
      <c r="I23" s="46">
        <f t="shared" si="1"/>
        <v>0</v>
      </c>
      <c r="J23" s="46">
        <f t="shared" si="1"/>
        <v>0</v>
      </c>
      <c r="K23" s="46">
        <f t="shared" si="1"/>
        <v>0</v>
      </c>
      <c r="L23" s="46">
        <f t="shared" si="1"/>
        <v>118000</v>
      </c>
      <c r="M23" s="46">
        <f t="shared" si="1"/>
        <v>836000</v>
      </c>
      <c r="N23" s="46">
        <f t="shared" si="1"/>
        <v>0</v>
      </c>
      <c r="O23" s="46">
        <f t="shared" si="1"/>
        <v>2714.9800000000005</v>
      </c>
      <c r="P23" s="46">
        <f t="shared" si="1"/>
        <v>13940.789999999999</v>
      </c>
      <c r="Q23" s="46">
        <f t="shared" si="1"/>
        <v>14530.74</v>
      </c>
      <c r="R23" s="46">
        <f t="shared" si="1"/>
        <v>2125.0299999999988</v>
      </c>
      <c r="S23" s="3"/>
      <c r="T23" s="3"/>
    </row>
    <row r="24" spans="1:20" ht="15" thickBot="1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8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82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83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84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opLeftCell="A7" workbookViewId="0">
      <selection activeCell="P15" sqref="P15"/>
    </sheetView>
  </sheetViews>
  <sheetFormatPr defaultRowHeight="12.75"/>
  <cols>
    <col min="4" max="4" width="11.42578125" bestFit="1" customWidth="1"/>
    <col min="8" max="8" width="10.5703125" customWidth="1"/>
    <col min="13" max="13" width="11.28515625" customWidth="1"/>
  </cols>
  <sheetData>
    <row r="1" spans="1:20" ht="18.75">
      <c r="A1" s="90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59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84" t="s">
        <v>24</v>
      </c>
      <c r="C8" s="84" t="s">
        <v>11</v>
      </c>
      <c r="D8" s="84" t="s">
        <v>25</v>
      </c>
      <c r="E8" s="84" t="s">
        <v>26</v>
      </c>
      <c r="F8" s="84" t="s">
        <v>7</v>
      </c>
      <c r="G8" s="84" t="s">
        <v>0</v>
      </c>
      <c r="H8" s="84" t="s">
        <v>16</v>
      </c>
      <c r="I8" s="84" t="s">
        <v>8</v>
      </c>
      <c r="J8" s="84" t="s">
        <v>12</v>
      </c>
      <c r="K8" s="84" t="s">
        <v>9</v>
      </c>
      <c r="L8" s="84" t="s">
        <v>13</v>
      </c>
      <c r="M8" s="93" t="s">
        <v>23</v>
      </c>
      <c r="N8" s="94"/>
      <c r="O8" s="84" t="s">
        <v>4</v>
      </c>
      <c r="P8" s="84" t="s">
        <v>20</v>
      </c>
      <c r="Q8" s="84" t="s">
        <v>19</v>
      </c>
      <c r="R8" s="84" t="s">
        <v>18</v>
      </c>
      <c r="S8" s="1"/>
      <c r="T8" s="1"/>
    </row>
    <row r="9" spans="1:20" ht="78.75">
      <c r="A9" s="92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57" t="s">
        <v>14</v>
      </c>
      <c r="N9" s="57" t="s">
        <v>17</v>
      </c>
      <c r="O9" s="85"/>
      <c r="P9" s="85"/>
      <c r="Q9" s="85"/>
      <c r="R9" s="85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86" t="s">
        <v>3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80" t="s">
        <v>5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2"/>
      <c r="S14" s="3"/>
      <c r="T14" s="3"/>
    </row>
    <row r="15" spans="1:20" ht="15">
      <c r="A15" s="33">
        <v>1</v>
      </c>
      <c r="B15" s="22"/>
      <c r="C15" s="23"/>
      <c r="D15" s="46">
        <f>Шала!D19+Кривцы!D18+Авдеево!D23+Красноборский!D25</f>
        <v>10306000</v>
      </c>
      <c r="E15" s="46"/>
      <c r="F15" s="46"/>
      <c r="G15" s="46">
        <f>Шала!G19+Кривцы!G18+Авдеево!G23+Красноборский!G25</f>
        <v>0</v>
      </c>
      <c r="H15" s="46">
        <f>Шала!H19+Кривцы!H18+Авдеево!H23+Красноборский!H25</f>
        <v>7196161</v>
      </c>
      <c r="I15" s="46">
        <f>Шала!I19+Кривцы!I18+Авдеево!I23+Красноборский!I25</f>
        <v>0</v>
      </c>
      <c r="J15" s="46">
        <f>Шала!J19+Кривцы!J18+Авдеево!J23+Красноборский!J25</f>
        <v>0</v>
      </c>
      <c r="K15" s="46">
        <f>Шала!K19+Кривцы!K18+Авдеево!K23+Красноборский!K25</f>
        <v>0</v>
      </c>
      <c r="L15" s="46">
        <f>Шала!L19+Кривцы!L18+Авдеево!L23+Красноборский!L25</f>
        <v>359335</v>
      </c>
      <c r="M15" s="46">
        <f>Шала!M19+Кривцы!M18+Авдеево!M23+Красноборский!M25</f>
        <v>6836826</v>
      </c>
      <c r="N15" s="46">
        <f>Шала!N19+Кривцы!N18+Авдеево!N23+Красноборский!N25</f>
        <v>500000</v>
      </c>
      <c r="O15" s="46">
        <f>Шала!O19+Кривцы!O18+Авдеево!O23+Красноборский!O25</f>
        <v>78618.63</v>
      </c>
      <c r="P15" s="46">
        <f>Шала!P19+Кривцы!P18+Авдеево!P23+Красноборский!P25</f>
        <v>117355.51999999997</v>
      </c>
      <c r="Q15" s="46">
        <f>Шала!Q19+Кривцы!Q18+Авдеево!Q23+Красноборский!Q25</f>
        <v>65365.05</v>
      </c>
      <c r="R15" s="46">
        <f>Шала!R19+Кривцы!R18+Авдеево!R23+Красноборский!R25</f>
        <v>130609.1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80" t="s">
        <v>21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2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80" t="s">
        <v>22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2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96" t="s">
        <v>56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8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2017-07-18T08:36:24Z</cp:lastPrinted>
  <dcterms:created xsi:type="dcterms:W3CDTF">2006-06-05T06:40:26Z</dcterms:created>
  <dcterms:modified xsi:type="dcterms:W3CDTF">2017-07-18T08:59:24Z</dcterms:modified>
</cp:coreProperties>
</file>