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район" sheetId="2" r:id="rId1"/>
    <sheet name="Шала" sheetId="3" r:id="rId2"/>
    <sheet name="Кривцы" sheetId="4" r:id="rId3"/>
    <sheet name="Красноборский" sheetId="5" r:id="rId4"/>
    <sheet name="Авдеево" sheetId="6" r:id="rId5"/>
    <sheet name="СВОД" sheetId="7" r:id="rId6"/>
  </sheets>
  <calcPr calcId="125725"/>
</workbook>
</file>

<file path=xl/calcChain.xml><?xml version="1.0" encoding="utf-8"?>
<calcChain xmlns="http://schemas.openxmlformats.org/spreadsheetml/2006/main">
  <c r="P32" i="2"/>
  <c r="P31"/>
  <c r="P30"/>
  <c r="P28"/>
  <c r="P25"/>
  <c r="P23"/>
  <c r="P22"/>
  <c r="P20"/>
  <c r="P19"/>
  <c r="Q23"/>
  <c r="Q24"/>
  <c r="P24"/>
  <c r="P16" i="6" l="1"/>
  <c r="P18" i="5"/>
  <c r="P17"/>
  <c r="P16"/>
  <c r="P15"/>
  <c r="P17" i="4"/>
  <c r="P18" i="3"/>
  <c r="P17"/>
  <c r="P16"/>
  <c r="P15"/>
  <c r="L16" i="5"/>
  <c r="L15"/>
  <c r="L17" i="4"/>
  <c r="Q16" i="6"/>
  <c r="Q17" i="4"/>
  <c r="Q18" i="5"/>
  <c r="Q17"/>
  <c r="Q16"/>
  <c r="Q15"/>
  <c r="Q32" i="2" l="1"/>
  <c r="Q31"/>
  <c r="Q30"/>
  <c r="Q28"/>
  <c r="Q25"/>
  <c r="Q22"/>
  <c r="Q20"/>
  <c r="Q19"/>
  <c r="P36"/>
  <c r="R35"/>
  <c r="M36"/>
  <c r="J36"/>
  <c r="H36"/>
  <c r="M35"/>
  <c r="D36"/>
  <c r="Q36" l="1"/>
  <c r="Q18" i="3" l="1"/>
  <c r="Q16"/>
  <c r="Q17"/>
  <c r="Q15"/>
  <c r="M33" i="2" l="1"/>
  <c r="R33"/>
  <c r="R34"/>
  <c r="M16" i="5"/>
  <c r="M18"/>
  <c r="G15" i="7"/>
  <c r="H15"/>
  <c r="I15"/>
  <c r="J15"/>
  <c r="N15"/>
  <c r="O15"/>
  <c r="D15"/>
  <c r="H23" i="6"/>
  <c r="I23"/>
  <c r="J23"/>
  <c r="K23"/>
  <c r="L23"/>
  <c r="M23"/>
  <c r="N23"/>
  <c r="O23"/>
  <c r="D23"/>
  <c r="R16"/>
  <c r="R17" s="1"/>
  <c r="R23" s="1"/>
  <c r="R15"/>
  <c r="Q15"/>
  <c r="Q17" s="1"/>
  <c r="Q23" s="1"/>
  <c r="P15"/>
  <c r="M16"/>
  <c r="M15"/>
  <c r="L15"/>
  <c r="L17" s="1"/>
  <c r="H17"/>
  <c r="I17"/>
  <c r="J17"/>
  <c r="K17"/>
  <c r="N17"/>
  <c r="O17"/>
  <c r="P17"/>
  <c r="P23" s="1"/>
  <c r="D17"/>
  <c r="I25" i="5"/>
  <c r="J25"/>
  <c r="N25"/>
  <c r="O25"/>
  <c r="H25"/>
  <c r="D25"/>
  <c r="I24" i="4"/>
  <c r="J24"/>
  <c r="K24"/>
  <c r="N24"/>
  <c r="O24"/>
  <c r="H24"/>
  <c r="D24"/>
  <c r="I26" i="3"/>
  <c r="J26"/>
  <c r="K26"/>
  <c r="L26"/>
  <c r="M26"/>
  <c r="N26"/>
  <c r="O26"/>
  <c r="H26"/>
  <c r="D26"/>
  <c r="R16" i="5"/>
  <c r="R17"/>
  <c r="R18"/>
  <c r="R15"/>
  <c r="Q19"/>
  <c r="Q25" s="1"/>
  <c r="P19"/>
  <c r="P25" s="1"/>
  <c r="K19"/>
  <c r="K25" s="1"/>
  <c r="K15" i="7" s="1"/>
  <c r="M17" i="5"/>
  <c r="M15"/>
  <c r="H19"/>
  <c r="I19"/>
  <c r="J19"/>
  <c r="L19"/>
  <c r="L25" s="1"/>
  <c r="N19"/>
  <c r="O19"/>
  <c r="D19"/>
  <c r="R19" l="1"/>
  <c r="R25" s="1"/>
  <c r="M17" i="6"/>
  <c r="M19" i="5"/>
  <c r="M25" s="1"/>
  <c r="R17" i="4" l="1"/>
  <c r="R18" s="1"/>
  <c r="R24" s="1"/>
  <c r="R16"/>
  <c r="Q16"/>
  <c r="Q18" s="1"/>
  <c r="Q24" s="1"/>
  <c r="P16"/>
  <c r="P18" s="1"/>
  <c r="P24" s="1"/>
  <c r="L18"/>
  <c r="M16"/>
  <c r="I18"/>
  <c r="J18"/>
  <c r="K18"/>
  <c r="N18"/>
  <c r="O18"/>
  <c r="H18"/>
  <c r="D18"/>
  <c r="R16" i="3"/>
  <c r="R17"/>
  <c r="R18"/>
  <c r="R15"/>
  <c r="P19"/>
  <c r="H19"/>
  <c r="I19"/>
  <c r="J19"/>
  <c r="K19"/>
  <c r="L19"/>
  <c r="M19"/>
  <c r="N19"/>
  <c r="O19"/>
  <c r="Q19"/>
  <c r="M16"/>
  <c r="M17"/>
  <c r="M18"/>
  <c r="M15"/>
  <c r="G15"/>
  <c r="D19"/>
  <c r="P15" i="7" l="1"/>
  <c r="P26" i="3"/>
  <c r="Q15" i="7"/>
  <c r="Q26" i="3"/>
  <c r="R19"/>
  <c r="L24" i="4"/>
  <c r="L15" i="7"/>
  <c r="M17" i="4"/>
  <c r="M18" s="1"/>
  <c r="R15" i="7" l="1"/>
  <c r="R26" i="3"/>
  <c r="M24" i="4"/>
  <c r="M15" i="7"/>
  <c r="Q41" i="2"/>
  <c r="Q40"/>
  <c r="Q39"/>
  <c r="P41"/>
  <c r="P40"/>
  <c r="P39"/>
  <c r="H42"/>
  <c r="J42"/>
  <c r="J45" s="1"/>
  <c r="L42"/>
  <c r="L45" s="1"/>
  <c r="M42"/>
  <c r="N42"/>
  <c r="O42"/>
  <c r="D42"/>
  <c r="R39" l="1"/>
  <c r="R41"/>
  <c r="R40"/>
  <c r="R42" s="1"/>
  <c r="P42"/>
  <c r="Q42"/>
  <c r="R21"/>
  <c r="R26"/>
  <c r="R27"/>
  <c r="R29"/>
  <c r="Q18"/>
  <c r="R28"/>
  <c r="R22"/>
  <c r="P18"/>
  <c r="O36"/>
  <c r="O45" s="1"/>
  <c r="N36"/>
  <c r="N45" s="1"/>
  <c r="M18"/>
  <c r="M19"/>
  <c r="M20"/>
  <c r="M21"/>
  <c r="M22"/>
  <c r="M23"/>
  <c r="M24"/>
  <c r="M25"/>
  <c r="M26"/>
  <c r="M27"/>
  <c r="M28"/>
  <c r="M29"/>
  <c r="M30"/>
  <c r="M31"/>
  <c r="M32"/>
  <c r="M34"/>
  <c r="M17"/>
  <c r="H45"/>
  <c r="D45"/>
  <c r="M45" l="1"/>
  <c r="Q45"/>
  <c r="R23"/>
  <c r="R20"/>
  <c r="R25"/>
  <c r="R32"/>
  <c r="R19"/>
  <c r="R24"/>
  <c r="R31"/>
  <c r="R18"/>
  <c r="R30"/>
  <c r="P45"/>
  <c r="R36" l="1"/>
  <c r="R45" s="1"/>
</calcChain>
</file>

<file path=xl/sharedStrings.xml><?xml version="1.0" encoding="utf-8"?>
<sst xmlns="http://schemas.openxmlformats.org/spreadsheetml/2006/main" count="301" uniqueCount="97">
  <si>
    <t>Процентная ставка</t>
  </si>
  <si>
    <t>№ п/п</t>
  </si>
  <si>
    <t>Итого по разделу</t>
  </si>
  <si>
    <t xml:space="preserve"> I.   Муниципальные ценные бумаги </t>
  </si>
  <si>
    <t>Остаток долга по процентам на начало года</t>
  </si>
  <si>
    <t xml:space="preserve"> II. Бюджетные кредиты, привлеченные в местный бюджет от других бюджетов бюджетной системы Российской Федерации</t>
  </si>
  <si>
    <t>рублей</t>
  </si>
  <si>
    <t>Форма обеспечения обязательства</t>
  </si>
  <si>
    <t xml:space="preserve">Фактическая дата образования долгового обязательства </t>
  </si>
  <si>
    <t xml:space="preserve">Фактическая дата погашения долгового обязательства </t>
  </si>
  <si>
    <t>Приложение № 1 к Приказу от __года № _______</t>
  </si>
  <si>
    <t>Наименование кредитора (бенефициара), принципала</t>
  </si>
  <si>
    <t xml:space="preserve">Сумма образования  долгового обязательства </t>
  </si>
  <si>
    <t>Сумма погашения  долгового обязательства</t>
  </si>
  <si>
    <t>Всего</t>
  </si>
  <si>
    <t>Исполнитель                                             /                                   /</t>
  </si>
  <si>
    <t>Объем  долгового обязательства на начало  года</t>
  </si>
  <si>
    <t>в том числе,объем  просроченной задолженности</t>
  </si>
  <si>
    <t>Объем  долга по процентам на 1 число месяца</t>
  </si>
  <si>
    <t>Сумма уплаченных процентов с начала года</t>
  </si>
  <si>
    <t>Сумма начисленных процентов с начала года</t>
  </si>
  <si>
    <t xml:space="preserve"> III. Кредиты, полученные муниципальным образованием  от кредитных организаций</t>
  </si>
  <si>
    <t xml:space="preserve"> IV.Муниципальные  гарантии </t>
  </si>
  <si>
    <t>Объем муниципального  долга  на 1 число месяца</t>
  </si>
  <si>
    <t xml:space="preserve"> № и дата документа</t>
  </si>
  <si>
    <t xml:space="preserve">Объем долгового обязательства </t>
  </si>
  <si>
    <t xml:space="preserve">Дата погашения долгового обязательства </t>
  </si>
  <si>
    <t>Договор  N13-3/13 от  25.12.2013</t>
  </si>
  <si>
    <t>Договор  N13-1/14 от  25.12.2014</t>
  </si>
  <si>
    <t>Договор  N13-1/15 от  24.07.2015</t>
  </si>
  <si>
    <t>Договор  N13-2/15 от  17.11.2015</t>
  </si>
  <si>
    <t>Договор  N13-3/15 от  23.11.2015</t>
  </si>
  <si>
    <t>Договор  N13-4/15 от  17.12.2015</t>
  </si>
  <si>
    <t>Договор  N13-5/15 от  25.12.2015</t>
  </si>
  <si>
    <t>Договор  N13-6/15 от  25.12.2015</t>
  </si>
  <si>
    <t>Договор  N13-1/16 от  27.05.2016</t>
  </si>
  <si>
    <t>Договор  N13-1/14р от  24.06.2016</t>
  </si>
  <si>
    <t>Договор  N13-2/15 р от  24.06.2016</t>
  </si>
  <si>
    <t>Договор  N13-2/16 от  03.08.2016</t>
  </si>
  <si>
    <t>Договор  N13-3/16 от  20.09.2016</t>
  </si>
  <si>
    <t>Договор  N13-4/16 от  30.09.2016</t>
  </si>
  <si>
    <t>Договор  N13-5/16 от  19.12.2016</t>
  </si>
  <si>
    <t>Договор  N13-6/16 от  23.12.2016</t>
  </si>
  <si>
    <t>Министерство Финансов Республики Карелия</t>
  </si>
  <si>
    <t>казна муницип.района</t>
  </si>
  <si>
    <t>Кредитный договор N 039-030-К-2015 от 03.08.2015.</t>
  </si>
  <si>
    <t>Кредитный договор N 039-0352-К-2015 от 07.12.2015.</t>
  </si>
  <si>
    <t>Муниципальный контракт  N 0106300008416000007-0226286-01 от 02.07.2016.</t>
  </si>
  <si>
    <t>ОАО Банк "Возрождение"</t>
  </si>
  <si>
    <t>ПАО "Совкомбанк"</t>
  </si>
  <si>
    <t>Руководитель финансового управления                                           /  Л.В.Вавулинская   /</t>
  </si>
  <si>
    <t>Исполнитель                                             /  И.Д.Голованова    /</t>
  </si>
  <si>
    <t>Всего муниципальный долг</t>
  </si>
  <si>
    <t>03.О3.2017</t>
  </si>
  <si>
    <t>01.О3.2017</t>
  </si>
  <si>
    <t>Информация о долговых обяхательствах __________________________________________</t>
  </si>
  <si>
    <t>Итого муниципальный долг</t>
  </si>
  <si>
    <t>Глава Администрации муниципального образования                                                                              /                                   /</t>
  </si>
  <si>
    <t>Руководитель финансового управления                                           /                                   /</t>
  </si>
  <si>
    <t>СВОД</t>
  </si>
  <si>
    <t>Договор №5-АПМР от 26.12.2013</t>
  </si>
  <si>
    <t>Договор №2 от 22.12.2015</t>
  </si>
  <si>
    <t>Договор №1 от 17.08.2016</t>
  </si>
  <si>
    <t>Договор №2 от 02.10.2016</t>
  </si>
  <si>
    <t>Администрация Пудожского муниципального района</t>
  </si>
  <si>
    <t>Договор № 6-АПМР от 25.12.2013</t>
  </si>
  <si>
    <t>Договор № 1 от 22.12.2015</t>
  </si>
  <si>
    <t>Договор №3 -АПМР от 07.10.2013</t>
  </si>
  <si>
    <t>Договор №9 -АПМР от 25.12.2013</t>
  </si>
  <si>
    <t>Договор №5 от 02.10.2016</t>
  </si>
  <si>
    <t>Договор №9 от 2510.2016</t>
  </si>
  <si>
    <t>Казна поселения</t>
  </si>
  <si>
    <t>Глава Администрации Пудожского муниципального района                                                                              / В.Н.Ересов   /</t>
  </si>
  <si>
    <t>Руководитель финансового управления                                           /   Л.В.Вавулинская    /</t>
  </si>
  <si>
    <t>Исполнитель                                             / И.Д.Голованова  /</t>
  </si>
  <si>
    <t>Глава Администрации Пудожского муниципального района                                                                              /    В.Н.Ересов   /</t>
  </si>
  <si>
    <t>Глава Администрации Пудожского муниципального района                                                                        /   В.Н.Ересов   /</t>
  </si>
  <si>
    <t>Руководитель финансового управления                                           /   Л.В.Вавулинская  /</t>
  </si>
  <si>
    <t>Исполнитель                                             / И.Д.Голованова   /</t>
  </si>
  <si>
    <t>Глава Администрации муниципального образования                                                                              /  В.Н.Ересов  /</t>
  </si>
  <si>
    <t>Руководитель финансового управления                                           / Л.В.Вавулинская   /</t>
  </si>
  <si>
    <t>Исполнитель                                             /  И.Д.Голованова  /</t>
  </si>
  <si>
    <t>Договор № 8-АПМР от 25.12.2013</t>
  </si>
  <si>
    <t>Договор № 6 от 02.10.2016</t>
  </si>
  <si>
    <t>казна поселения</t>
  </si>
  <si>
    <t>Договор  N13-1/17р от  23.01.2017</t>
  </si>
  <si>
    <t>Договор  N13-1/17 от  08.06.2017</t>
  </si>
  <si>
    <t>реструктур.</t>
  </si>
  <si>
    <t>Руководитель финансового управления                                           /   Л.В.Вавулинская                                /</t>
  </si>
  <si>
    <t>Глава Администрации муниципального образования                                                                              /  В.Н.Ересов                                 /</t>
  </si>
  <si>
    <t>Исполнитель                                             /    И.Д.Голованова            /</t>
  </si>
  <si>
    <t>Договор  N13-2/17 от  11.08.2017</t>
  </si>
  <si>
    <t>Информация о долговых обяхательствах  Пудожского муниципального района по состоянию на 1 октября  2017года</t>
  </si>
  <si>
    <t>Информация о долговых обязательствах  Шальского сельского поселения на 1 октября 2017года</t>
  </si>
  <si>
    <t>Информация о долговых обязательствах  Кривецкого сельского поселения на 1 октября 2017года</t>
  </si>
  <si>
    <t>Информация о долговых обяхательствах Красноборского сельского поселения на 1 октября 2017года.</t>
  </si>
  <si>
    <t>Информация о долговых обяхательствах Авдеевского сельского поселения на 1 октября  2017года.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</si>
</sst>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u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4" fontId="2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/>
    <xf numFmtId="0" fontId="9" fillId="0" borderId="1" xfId="0" applyFont="1" applyBorder="1" applyAlignment="1"/>
    <xf numFmtId="2" fontId="3" fillId="0" borderId="1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8"/>
  <sheetViews>
    <sheetView tabSelected="1" topLeftCell="F24" zoomScaleNormal="100" workbookViewId="0">
      <selection activeCell="Q33" sqref="Q33"/>
    </sheetView>
  </sheetViews>
  <sheetFormatPr defaultRowHeight="12.75"/>
  <cols>
    <col min="1" max="1" width="4.28515625" style="1" customWidth="1"/>
    <col min="2" max="2" width="32.7109375" style="4" customWidth="1"/>
    <col min="3" max="3" width="15.28515625" style="4" customWidth="1"/>
    <col min="4" max="4" width="13.7109375" style="8" customWidth="1"/>
    <col min="5" max="5" width="13.7109375" style="10" customWidth="1"/>
    <col min="6" max="6" width="24.7109375" style="10" customWidth="1"/>
    <col min="7" max="7" width="13.5703125" style="1" customWidth="1"/>
    <col min="8" max="8" width="19.42578125" style="1" customWidth="1"/>
    <col min="9" max="9" width="15.140625" style="1" customWidth="1"/>
    <col min="10" max="10" width="16.85546875" style="1" customWidth="1"/>
    <col min="11" max="11" width="14.5703125" style="1" customWidth="1"/>
    <col min="12" max="12" width="14" style="1" customWidth="1"/>
    <col min="13" max="13" width="12.5703125" style="1" customWidth="1"/>
    <col min="14" max="14" width="11" style="1" customWidth="1"/>
    <col min="15" max="15" width="10.5703125" style="1" customWidth="1"/>
    <col min="16" max="16" width="12.28515625" style="1" customWidth="1"/>
    <col min="17" max="17" width="12" style="1" customWidth="1"/>
    <col min="18" max="18" width="11.7109375" style="1" customWidth="1"/>
    <col min="19" max="16384" width="9.140625" style="1"/>
  </cols>
  <sheetData>
    <row r="1" spans="1:18">
      <c r="Q1" s="92" t="s">
        <v>10</v>
      </c>
      <c r="R1" s="92"/>
    </row>
    <row r="2" spans="1:18" ht="26.25" customHeight="1">
      <c r="Q2" s="92"/>
      <c r="R2" s="92"/>
    </row>
    <row r="3" spans="1:18" ht="21.75" customHeight="1">
      <c r="A3" s="93" t="s">
        <v>92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15"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1.25" customHeight="1">
      <c r="B5" s="6"/>
      <c r="D5" s="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31" t="s">
        <v>6</v>
      </c>
    </row>
    <row r="6" spans="1:18" ht="3" customHeight="1">
      <c r="E6" s="5"/>
      <c r="F6" s="5"/>
    </row>
    <row r="7" spans="1:18" ht="7.5" customHeight="1">
      <c r="E7" s="94"/>
      <c r="F7" s="94"/>
      <c r="G7" s="94"/>
      <c r="H7" s="94"/>
      <c r="I7" s="94"/>
      <c r="J7" s="94"/>
      <c r="K7" s="94"/>
      <c r="L7" s="94"/>
      <c r="M7" s="9"/>
      <c r="N7" s="9"/>
    </row>
    <row r="8" spans="1:18" ht="5.25" customHeight="1"/>
    <row r="9" spans="1:18" ht="15" customHeight="1"/>
    <row r="10" spans="1:18" ht="36.75" customHeight="1">
      <c r="A10" s="95" t="s">
        <v>1</v>
      </c>
      <c r="B10" s="87" t="s">
        <v>24</v>
      </c>
      <c r="C10" s="87" t="s">
        <v>11</v>
      </c>
      <c r="D10" s="87" t="s">
        <v>25</v>
      </c>
      <c r="E10" s="87" t="s">
        <v>26</v>
      </c>
      <c r="F10" s="87" t="s">
        <v>7</v>
      </c>
      <c r="G10" s="87" t="s">
        <v>0</v>
      </c>
      <c r="H10" s="87" t="s">
        <v>16</v>
      </c>
      <c r="I10" s="87" t="s">
        <v>8</v>
      </c>
      <c r="J10" s="87" t="s">
        <v>12</v>
      </c>
      <c r="K10" s="87" t="s">
        <v>9</v>
      </c>
      <c r="L10" s="87" t="s">
        <v>13</v>
      </c>
      <c r="M10" s="96" t="s">
        <v>23</v>
      </c>
      <c r="N10" s="97"/>
      <c r="O10" s="87" t="s">
        <v>4</v>
      </c>
      <c r="P10" s="87" t="s">
        <v>20</v>
      </c>
      <c r="Q10" s="87" t="s">
        <v>19</v>
      </c>
      <c r="R10" s="87" t="s">
        <v>18</v>
      </c>
    </row>
    <row r="11" spans="1:18" s="13" customFormat="1" ht="94.5" customHeight="1">
      <c r="A11" s="95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40" t="s">
        <v>14</v>
      </c>
      <c r="N11" s="40" t="s">
        <v>17</v>
      </c>
      <c r="O11" s="88"/>
      <c r="P11" s="88"/>
      <c r="Q11" s="88"/>
      <c r="R11" s="88"/>
    </row>
    <row r="12" spans="1:18" s="30" customFormat="1" ht="10.5" customHeight="1">
      <c r="A12" s="32">
        <v>1</v>
      </c>
      <c r="B12" s="11">
        <v>2</v>
      </c>
      <c r="C12" s="12">
        <v>3</v>
      </c>
      <c r="D12" s="11">
        <v>4</v>
      </c>
      <c r="E12" s="12">
        <v>5</v>
      </c>
      <c r="F12" s="11">
        <v>6</v>
      </c>
      <c r="G12" s="32">
        <v>7</v>
      </c>
      <c r="H12" s="11">
        <v>8</v>
      </c>
      <c r="I12" s="12">
        <v>9</v>
      </c>
      <c r="J12" s="11">
        <v>10</v>
      </c>
      <c r="K12" s="12">
        <v>11</v>
      </c>
      <c r="L12" s="11">
        <v>12</v>
      </c>
      <c r="M12" s="12">
        <v>13</v>
      </c>
      <c r="N12" s="11">
        <v>14</v>
      </c>
      <c r="O12" s="12">
        <v>15</v>
      </c>
      <c r="P12" s="11">
        <v>16</v>
      </c>
      <c r="Q12" s="12">
        <v>17</v>
      </c>
      <c r="R12" s="11">
        <v>18</v>
      </c>
    </row>
    <row r="13" spans="1:18" s="3" customFormat="1" ht="23.25" customHeight="1">
      <c r="A13" s="89" t="s">
        <v>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</row>
    <row r="14" spans="1:18" s="3" customFormat="1" ht="6" hidden="1" customHeight="1">
      <c r="A14" s="33"/>
      <c r="B14" s="22"/>
      <c r="C14" s="23"/>
      <c r="D14" s="24"/>
      <c r="E14" s="25"/>
      <c r="F14" s="26"/>
      <c r="G14" s="28"/>
      <c r="H14" s="27"/>
      <c r="I14" s="28"/>
      <c r="J14" s="28"/>
      <c r="K14" s="28"/>
      <c r="L14" s="29"/>
      <c r="M14" s="28"/>
      <c r="N14" s="28"/>
      <c r="O14" s="28"/>
      <c r="P14" s="28"/>
      <c r="Q14" s="28"/>
      <c r="R14" s="34"/>
    </row>
    <row r="15" spans="1:18" s="3" customFormat="1" ht="7.5" hidden="1" customHeight="1">
      <c r="A15" s="35" t="s">
        <v>2</v>
      </c>
      <c r="B15" s="22"/>
      <c r="C15" s="23"/>
      <c r="D15" s="24"/>
      <c r="E15" s="25"/>
      <c r="F15" s="26"/>
      <c r="G15" s="28"/>
      <c r="H15" s="27"/>
      <c r="I15" s="28"/>
      <c r="J15" s="28"/>
      <c r="K15" s="28"/>
      <c r="L15" s="29"/>
      <c r="M15" s="28"/>
      <c r="N15" s="28"/>
      <c r="O15" s="28"/>
      <c r="P15" s="28"/>
      <c r="Q15" s="28"/>
      <c r="R15" s="34"/>
    </row>
    <row r="16" spans="1:18" s="3" customFormat="1" ht="32.25" customHeight="1">
      <c r="A16" s="83" t="s">
        <v>5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5"/>
    </row>
    <row r="17" spans="1:18" s="3" customFormat="1" ht="60" customHeight="1">
      <c r="A17" s="43">
        <v>1</v>
      </c>
      <c r="B17" s="22" t="s">
        <v>27</v>
      </c>
      <c r="C17" s="23" t="s">
        <v>43</v>
      </c>
      <c r="D17" s="46">
        <v>5000000</v>
      </c>
      <c r="E17" s="47">
        <v>42699</v>
      </c>
      <c r="F17" s="48" t="s">
        <v>44</v>
      </c>
      <c r="G17" s="43">
        <v>2.75</v>
      </c>
      <c r="H17" s="28">
        <v>2100000</v>
      </c>
      <c r="I17" s="22"/>
      <c r="J17" s="43"/>
      <c r="K17" s="43"/>
      <c r="L17" s="43"/>
      <c r="M17" s="49">
        <f>H17+J17-L17</f>
        <v>2100000</v>
      </c>
      <c r="N17" s="51">
        <v>0</v>
      </c>
      <c r="O17" s="50">
        <v>0</v>
      </c>
      <c r="P17" s="50">
        <v>0</v>
      </c>
      <c r="Q17" s="50">
        <v>0</v>
      </c>
      <c r="R17" s="51">
        <v>0</v>
      </c>
    </row>
    <row r="18" spans="1:18" s="3" customFormat="1" ht="32.25" customHeight="1">
      <c r="A18" s="43">
        <v>2</v>
      </c>
      <c r="B18" s="22" t="s">
        <v>28</v>
      </c>
      <c r="C18" s="23" t="s">
        <v>43</v>
      </c>
      <c r="D18" s="46">
        <v>3000000</v>
      </c>
      <c r="E18" s="47">
        <v>43064</v>
      </c>
      <c r="F18" s="48" t="s">
        <v>44</v>
      </c>
      <c r="G18" s="43">
        <v>2.75</v>
      </c>
      <c r="H18" s="28">
        <v>2350000</v>
      </c>
      <c r="I18" s="22"/>
      <c r="J18" s="51">
        <v>-2350000</v>
      </c>
      <c r="K18" s="43"/>
      <c r="L18" s="43"/>
      <c r="M18" s="49">
        <f t="shared" ref="M18:M35" si="0">H18+J18-L18</f>
        <v>0</v>
      </c>
      <c r="N18" s="51">
        <v>0</v>
      </c>
      <c r="O18" s="50">
        <v>6634.13</v>
      </c>
      <c r="P18" s="50">
        <f>6652.3-1931.31</f>
        <v>4720.99</v>
      </c>
      <c r="Q18" s="50">
        <f>6634.13+6652.3-1931.31</f>
        <v>11355.12</v>
      </c>
      <c r="R18" s="51">
        <f>O18+P18-Q18</f>
        <v>0</v>
      </c>
    </row>
    <row r="19" spans="1:18" s="3" customFormat="1" ht="27" customHeight="1">
      <c r="A19" s="43">
        <v>3</v>
      </c>
      <c r="B19" s="22" t="s">
        <v>29</v>
      </c>
      <c r="C19" s="23" t="s">
        <v>43</v>
      </c>
      <c r="D19" s="46">
        <v>10000000</v>
      </c>
      <c r="E19" s="47">
        <v>43271</v>
      </c>
      <c r="F19" s="48" t="s">
        <v>44</v>
      </c>
      <c r="G19" s="43">
        <v>2.75</v>
      </c>
      <c r="H19" s="28">
        <v>10000000</v>
      </c>
      <c r="I19" s="22"/>
      <c r="J19" s="51">
        <v>-6672000</v>
      </c>
      <c r="K19" s="43"/>
      <c r="L19" s="43"/>
      <c r="M19" s="49">
        <f t="shared" si="0"/>
        <v>3328000</v>
      </c>
      <c r="N19" s="51">
        <v>0</v>
      </c>
      <c r="O19" s="50">
        <v>28230.33</v>
      </c>
      <c r="P19" s="50">
        <f>28307.67+3025.81+9382.95+4396.82+4493.04+8729.39+8342.25+8479.56+8479.56+8008.08</f>
        <v>91645.12999999999</v>
      </c>
      <c r="Q19" s="50">
        <f>28230.33+28307.67+3025.81+9382.95+4396.82+4493.04+8729.39+8342.25+8479.56+8479.56</f>
        <v>111867.37999999998</v>
      </c>
      <c r="R19" s="51">
        <f t="shared" ref="R19:R35" si="1">O19+P19-Q19</f>
        <v>8008.0800000000163</v>
      </c>
    </row>
    <row r="20" spans="1:18" s="3" customFormat="1" ht="30" customHeight="1">
      <c r="A20" s="43">
        <v>4</v>
      </c>
      <c r="B20" s="22" t="s">
        <v>30</v>
      </c>
      <c r="C20" s="23" t="s">
        <v>43</v>
      </c>
      <c r="D20" s="46">
        <v>7000000</v>
      </c>
      <c r="E20" s="47">
        <v>43393</v>
      </c>
      <c r="F20" s="48" t="s">
        <v>44</v>
      </c>
      <c r="G20" s="43">
        <v>2.75</v>
      </c>
      <c r="H20" s="28">
        <v>5446000</v>
      </c>
      <c r="I20" s="22"/>
      <c r="J20" s="51">
        <v>-1200000</v>
      </c>
      <c r="K20" s="43"/>
      <c r="L20" s="43"/>
      <c r="M20" s="49">
        <f t="shared" si="0"/>
        <v>4246000</v>
      </c>
      <c r="N20" s="51">
        <v>0</v>
      </c>
      <c r="O20" s="50">
        <v>15374.24</v>
      </c>
      <c r="P20" s="50">
        <f>15416.36+9870.07+11971.16+11342.05+11137.32+10643.39+10818.58+10818.58+10217.04</f>
        <v>102234.55000000002</v>
      </c>
      <c r="Q20" s="50">
        <f>15374.24+15416.36+9870.07+11971.16+11342.05+11137.32+10643.39+10818.58+10818.58</f>
        <v>107391.75000000001</v>
      </c>
      <c r="R20" s="51">
        <f t="shared" si="1"/>
        <v>10217.040000000008</v>
      </c>
    </row>
    <row r="21" spans="1:18" s="3" customFormat="1" ht="27" hidden="1" customHeight="1">
      <c r="A21" s="43">
        <v>5</v>
      </c>
      <c r="B21" s="22" t="s">
        <v>31</v>
      </c>
      <c r="C21" s="23" t="s">
        <v>43</v>
      </c>
      <c r="D21" s="46"/>
      <c r="E21" s="47"/>
      <c r="F21" s="43"/>
      <c r="G21" s="43">
        <v>2.75</v>
      </c>
      <c r="H21" s="28"/>
      <c r="I21" s="22" t="s">
        <v>31</v>
      </c>
      <c r="J21" s="43"/>
      <c r="K21" s="43"/>
      <c r="L21" s="43"/>
      <c r="M21" s="49">
        <f t="shared" si="0"/>
        <v>0</v>
      </c>
      <c r="N21" s="51">
        <v>0</v>
      </c>
      <c r="O21" s="50"/>
      <c r="P21" s="50"/>
      <c r="Q21" s="50"/>
      <c r="R21" s="51">
        <f t="shared" si="1"/>
        <v>0</v>
      </c>
    </row>
    <row r="22" spans="1:18" s="3" customFormat="1" ht="27" customHeight="1">
      <c r="A22" s="43">
        <v>5</v>
      </c>
      <c r="B22" s="22" t="s">
        <v>32</v>
      </c>
      <c r="C22" s="23" t="s">
        <v>43</v>
      </c>
      <c r="D22" s="46">
        <v>3000000</v>
      </c>
      <c r="E22" s="47">
        <v>43449</v>
      </c>
      <c r="F22" s="48" t="s">
        <v>44</v>
      </c>
      <c r="G22" s="43">
        <v>2.75</v>
      </c>
      <c r="H22" s="28">
        <v>3000000</v>
      </c>
      <c r="I22" s="22"/>
      <c r="J22" s="51">
        <v>-1500000</v>
      </c>
      <c r="K22" s="43"/>
      <c r="L22" s="43"/>
      <c r="M22" s="49">
        <f t="shared" si="0"/>
        <v>1500000</v>
      </c>
      <c r="N22" s="51">
        <v>0</v>
      </c>
      <c r="O22" s="50">
        <v>8469.1</v>
      </c>
      <c r="P22" s="50">
        <f>8492.3+2602.48+4229.1+4006.85+3934.52+3760.03+3821.92+3821.92+3609.41</f>
        <v>38278.53</v>
      </c>
      <c r="Q22" s="50">
        <f>8469.1+8492.3+2602.48+4229.1+4006.85+3934.52+3760.03+3821.92+3821.92</f>
        <v>43138.22</v>
      </c>
      <c r="R22" s="51">
        <f t="shared" si="1"/>
        <v>3609.4099999999962</v>
      </c>
    </row>
    <row r="23" spans="1:18" s="3" customFormat="1" ht="27" customHeight="1">
      <c r="A23" s="43">
        <v>6</v>
      </c>
      <c r="B23" s="22" t="s">
        <v>33</v>
      </c>
      <c r="C23" s="23" t="s">
        <v>43</v>
      </c>
      <c r="D23" s="46">
        <v>8900000</v>
      </c>
      <c r="E23" s="47">
        <v>43455</v>
      </c>
      <c r="F23" s="48" t="s">
        <v>44</v>
      </c>
      <c r="G23" s="43">
        <v>2.75</v>
      </c>
      <c r="H23" s="28">
        <v>8900000</v>
      </c>
      <c r="I23" s="22"/>
      <c r="J23" s="43"/>
      <c r="K23" s="43"/>
      <c r="L23" s="43"/>
      <c r="M23" s="49">
        <f t="shared" si="0"/>
        <v>8900000</v>
      </c>
      <c r="N23" s="51">
        <v>0</v>
      </c>
      <c r="O23" s="50">
        <v>25124.99</v>
      </c>
      <c r="P23" s="50">
        <f>22755.72+25193.83+25092.64+23773.97+23344.83+22309.49+22676.71+22676.71+21415.84</f>
        <v>209239.74</v>
      </c>
      <c r="Q23" s="50">
        <f>22755.72+25124.99+25193.83+25092.64+23773.97+23344.83+22309.49+22676.71+22676.71</f>
        <v>212948.88999999998</v>
      </c>
      <c r="R23" s="51">
        <f t="shared" si="1"/>
        <v>21415.839999999997</v>
      </c>
    </row>
    <row r="24" spans="1:18" s="3" customFormat="1" ht="28.5" customHeight="1">
      <c r="A24" s="43">
        <v>7</v>
      </c>
      <c r="B24" s="22" t="s">
        <v>34</v>
      </c>
      <c r="C24" s="23" t="s">
        <v>43</v>
      </c>
      <c r="D24" s="46">
        <v>4000000</v>
      </c>
      <c r="E24" s="47">
        <v>42729</v>
      </c>
      <c r="F24" s="48" t="s">
        <v>44</v>
      </c>
      <c r="G24" s="43">
        <v>2.75</v>
      </c>
      <c r="H24" s="28">
        <v>3000000</v>
      </c>
      <c r="I24" s="22"/>
      <c r="J24" s="51">
        <v>-3000000</v>
      </c>
      <c r="K24" s="43"/>
      <c r="L24" s="43"/>
      <c r="M24" s="49">
        <f t="shared" si="0"/>
        <v>0</v>
      </c>
      <c r="N24" s="51">
        <v>0</v>
      </c>
      <c r="O24" s="50">
        <v>8469.1</v>
      </c>
      <c r="P24" s="50">
        <f>8492.3-2465.51</f>
        <v>6026.7899999999991</v>
      </c>
      <c r="Q24" s="50">
        <f>8469.1+8492.3-2465.51</f>
        <v>14495.890000000001</v>
      </c>
      <c r="R24" s="51">
        <f t="shared" si="1"/>
        <v>0</v>
      </c>
    </row>
    <row r="25" spans="1:18" s="3" customFormat="1" ht="27" customHeight="1">
      <c r="A25" s="43">
        <v>8</v>
      </c>
      <c r="B25" s="22" t="s">
        <v>35</v>
      </c>
      <c r="C25" s="23" t="s">
        <v>43</v>
      </c>
      <c r="D25" s="46">
        <v>5000000</v>
      </c>
      <c r="E25" s="47">
        <v>43605</v>
      </c>
      <c r="F25" s="48" t="s">
        <v>44</v>
      </c>
      <c r="G25" s="43">
        <v>2.75</v>
      </c>
      <c r="H25" s="28">
        <v>5000000</v>
      </c>
      <c r="I25" s="22"/>
      <c r="J25" s="43"/>
      <c r="K25" s="43"/>
      <c r="L25" s="43"/>
      <c r="M25" s="49">
        <f t="shared" si="0"/>
        <v>5000000</v>
      </c>
      <c r="N25" s="51">
        <v>0</v>
      </c>
      <c r="O25" s="50">
        <v>14115.16</v>
      </c>
      <c r="P25" s="50">
        <f>14153.84+12784.11+14096.99+13356.16+13115.07+12533.43+12739.73+12739.73+12031.37</f>
        <v>117550.43</v>
      </c>
      <c r="Q25" s="50">
        <f>14115.16+14153.84+12784.11+14096.99+13356.16+13115.07+12533.43+12739.73+12739.73</f>
        <v>119634.21999999997</v>
      </c>
      <c r="R25" s="51">
        <f t="shared" si="1"/>
        <v>12031.370000000024</v>
      </c>
    </row>
    <row r="26" spans="1:18" s="3" customFormat="1" ht="27" customHeight="1">
      <c r="A26" s="43">
        <v>9</v>
      </c>
      <c r="B26" s="22" t="s">
        <v>36</v>
      </c>
      <c r="C26" s="23" t="s">
        <v>43</v>
      </c>
      <c r="D26" s="46">
        <v>350000</v>
      </c>
      <c r="E26" s="47"/>
      <c r="F26" s="48" t="s">
        <v>44</v>
      </c>
      <c r="G26" s="43">
        <v>2.75</v>
      </c>
      <c r="H26" s="28">
        <v>350000</v>
      </c>
      <c r="I26" s="22"/>
      <c r="J26" s="43"/>
      <c r="K26" s="43"/>
      <c r="L26" s="43"/>
      <c r="M26" s="49">
        <f t="shared" si="0"/>
        <v>350000</v>
      </c>
      <c r="N26" s="51">
        <v>0</v>
      </c>
      <c r="O26" s="50">
        <v>0</v>
      </c>
      <c r="P26" s="50">
        <v>0</v>
      </c>
      <c r="Q26" s="50">
        <v>0</v>
      </c>
      <c r="R26" s="51">
        <f t="shared" si="1"/>
        <v>0</v>
      </c>
    </row>
    <row r="27" spans="1:18" s="3" customFormat="1" ht="27" customHeight="1">
      <c r="A27" s="43">
        <v>10</v>
      </c>
      <c r="B27" s="22" t="s">
        <v>37</v>
      </c>
      <c r="C27" s="23" t="s">
        <v>43</v>
      </c>
      <c r="D27" s="46">
        <v>1554000</v>
      </c>
      <c r="E27" s="47"/>
      <c r="F27" s="48" t="s">
        <v>44</v>
      </c>
      <c r="G27" s="43">
        <v>2.75</v>
      </c>
      <c r="H27" s="28">
        <v>1554000</v>
      </c>
      <c r="I27" s="22"/>
      <c r="J27" s="43"/>
      <c r="K27" s="43"/>
      <c r="L27" s="43"/>
      <c r="M27" s="49">
        <f t="shared" si="0"/>
        <v>1554000</v>
      </c>
      <c r="N27" s="51">
        <v>0</v>
      </c>
      <c r="O27" s="50">
        <v>0</v>
      </c>
      <c r="P27" s="50">
        <v>0</v>
      </c>
      <c r="Q27" s="50">
        <v>0</v>
      </c>
      <c r="R27" s="51">
        <f t="shared" si="1"/>
        <v>0</v>
      </c>
    </row>
    <row r="28" spans="1:18" s="3" customFormat="1" ht="28.5" customHeight="1">
      <c r="A28" s="43">
        <v>11</v>
      </c>
      <c r="B28" s="22" t="s">
        <v>38</v>
      </c>
      <c r="C28" s="23" t="s">
        <v>43</v>
      </c>
      <c r="D28" s="46">
        <v>17160000</v>
      </c>
      <c r="E28" s="47">
        <v>43671</v>
      </c>
      <c r="F28" s="48" t="s">
        <v>44</v>
      </c>
      <c r="G28" s="43">
        <v>2.75</v>
      </c>
      <c r="H28" s="28">
        <v>17160000</v>
      </c>
      <c r="I28" s="22"/>
      <c r="J28" s="51">
        <v>-1350000</v>
      </c>
      <c r="K28" s="43"/>
      <c r="L28" s="43"/>
      <c r="M28" s="49">
        <f t="shared" si="0"/>
        <v>15810000</v>
      </c>
      <c r="N28" s="51">
        <v>0</v>
      </c>
      <c r="O28" s="50">
        <v>48443.24</v>
      </c>
      <c r="P28" s="50">
        <f>48575.96+39313.87+44574.67+42232.19+41469.85+39630.68+40283.01+40283.01+38043.19</f>
        <v>374406.43</v>
      </c>
      <c r="Q28" s="50">
        <f>48443.24+48575.96+39313.87+44574.67+42232.19+41469.85+39630.68+40283.01+40283.01</f>
        <v>384806.48</v>
      </c>
      <c r="R28" s="51">
        <f t="shared" si="1"/>
        <v>38043.19</v>
      </c>
    </row>
    <row r="29" spans="1:18" s="3" customFormat="1" ht="28.5" customHeight="1">
      <c r="A29" s="43">
        <v>12</v>
      </c>
      <c r="B29" s="22" t="s">
        <v>39</v>
      </c>
      <c r="C29" s="23" t="s">
        <v>43</v>
      </c>
      <c r="D29" s="46"/>
      <c r="E29" s="47">
        <v>42724</v>
      </c>
      <c r="F29" s="48" t="s">
        <v>44</v>
      </c>
      <c r="G29" s="43">
        <v>2.75</v>
      </c>
      <c r="H29" s="28"/>
      <c r="I29" s="22"/>
      <c r="J29" s="43"/>
      <c r="K29" s="43"/>
      <c r="L29" s="43"/>
      <c r="M29" s="49">
        <f t="shared" si="0"/>
        <v>0</v>
      </c>
      <c r="N29" s="51">
        <v>0</v>
      </c>
      <c r="O29" s="50">
        <v>13841.97</v>
      </c>
      <c r="P29" s="50">
        <v>0</v>
      </c>
      <c r="Q29" s="50">
        <v>13841.97</v>
      </c>
      <c r="R29" s="51">
        <f t="shared" si="1"/>
        <v>0</v>
      </c>
    </row>
    <row r="30" spans="1:18" s="3" customFormat="1" ht="27.75" customHeight="1">
      <c r="A30" s="43">
        <v>13</v>
      </c>
      <c r="B30" s="22" t="s">
        <v>40</v>
      </c>
      <c r="C30" s="23" t="s">
        <v>43</v>
      </c>
      <c r="D30" s="46">
        <v>3575000</v>
      </c>
      <c r="E30" s="47">
        <v>43733</v>
      </c>
      <c r="F30" s="48" t="s">
        <v>44</v>
      </c>
      <c r="G30" s="43">
        <v>2.75</v>
      </c>
      <c r="H30" s="28">
        <v>3575000</v>
      </c>
      <c r="I30" s="22"/>
      <c r="J30" s="43"/>
      <c r="K30" s="43"/>
      <c r="L30" s="43"/>
      <c r="M30" s="49">
        <f t="shared" si="0"/>
        <v>3575000</v>
      </c>
      <c r="N30" s="51">
        <v>0</v>
      </c>
      <c r="O30" s="50">
        <v>10092.34</v>
      </c>
      <c r="P30" s="50">
        <f>10119.99+9140.64+10079.35+9549.66+9377.27+8961.4+9108.9+9108.9+8602.43</f>
        <v>84048.540000000008</v>
      </c>
      <c r="Q30" s="50">
        <f>10092.34+10119.99+9140.64+10079.35+9549.66+9377.27+8961.4+9108.9+9108.9</f>
        <v>85538.449999999983</v>
      </c>
      <c r="R30" s="51">
        <f t="shared" si="1"/>
        <v>8602.4300000000221</v>
      </c>
    </row>
    <row r="31" spans="1:18" s="3" customFormat="1" ht="29.25" customHeight="1">
      <c r="A31" s="43">
        <v>14</v>
      </c>
      <c r="B31" s="22" t="s">
        <v>41</v>
      </c>
      <c r="C31" s="23" t="s">
        <v>43</v>
      </c>
      <c r="D31" s="46">
        <v>15000000</v>
      </c>
      <c r="E31" s="47">
        <v>43818</v>
      </c>
      <c r="F31" s="48" t="s">
        <v>44</v>
      </c>
      <c r="G31" s="43">
        <v>2.75</v>
      </c>
      <c r="H31" s="28">
        <v>15000000</v>
      </c>
      <c r="I31" s="22"/>
      <c r="J31" s="51">
        <v>-5000000</v>
      </c>
      <c r="K31" s="43"/>
      <c r="L31" s="43"/>
      <c r="M31" s="49">
        <f t="shared" si="0"/>
        <v>10000000</v>
      </c>
      <c r="N31" s="51">
        <v>0</v>
      </c>
      <c r="O31" s="50">
        <v>17757.79</v>
      </c>
      <c r="P31" s="50">
        <f>42461.51+21459.04+28193.97+26712.33+26230.14+25066.85+25479.45+25479.45+24062.74</f>
        <v>245145.48</v>
      </c>
      <c r="Q31" s="50">
        <f>17757.79+42461.51+21459.04+28193.97+26712.33+26230.14+25066.85+25479.45+25479.45</f>
        <v>238840.53000000006</v>
      </c>
      <c r="R31" s="51">
        <f t="shared" si="1"/>
        <v>24062.739999999962</v>
      </c>
    </row>
    <row r="32" spans="1:18" s="3" customFormat="1" ht="32.25" customHeight="1">
      <c r="A32" s="43">
        <v>15</v>
      </c>
      <c r="B32" s="22" t="s">
        <v>42</v>
      </c>
      <c r="C32" s="23" t="s">
        <v>43</v>
      </c>
      <c r="D32" s="46">
        <v>5000000</v>
      </c>
      <c r="E32" s="47">
        <v>43822</v>
      </c>
      <c r="F32" s="48" t="s">
        <v>44</v>
      </c>
      <c r="G32" s="43">
        <v>2.75</v>
      </c>
      <c r="H32" s="28">
        <v>5000000</v>
      </c>
      <c r="I32" s="22"/>
      <c r="J32" s="51">
        <v>-1368000</v>
      </c>
      <c r="K32" s="43"/>
      <c r="L32" s="43"/>
      <c r="M32" s="49">
        <f t="shared" si="0"/>
        <v>3632000</v>
      </c>
      <c r="N32" s="51">
        <v>0</v>
      </c>
      <c r="O32" s="50">
        <v>2731.97</v>
      </c>
      <c r="P32" s="50">
        <f>14153.84+8162.11+10240.05+9701.92+9526.79+9104.28+9254.14+9254.14+8739.59</f>
        <v>88136.86</v>
      </c>
      <c r="Q32" s="50">
        <f>2731.97+14153.84+8162.11+10240.05+9701.92+9526.79+9104.28+9254.14+9254.14</f>
        <v>82129.240000000005</v>
      </c>
      <c r="R32" s="51">
        <f t="shared" si="1"/>
        <v>8739.5899999999965</v>
      </c>
    </row>
    <row r="33" spans="1:18" s="3" customFormat="1" ht="32.25" customHeight="1">
      <c r="A33" s="77">
        <v>16</v>
      </c>
      <c r="B33" s="22" t="s">
        <v>85</v>
      </c>
      <c r="C33" s="23" t="s">
        <v>43</v>
      </c>
      <c r="D33" s="46" t="s">
        <v>87</v>
      </c>
      <c r="E33" s="47"/>
      <c r="F33" s="48" t="s">
        <v>44</v>
      </c>
      <c r="G33" s="77">
        <v>2.75</v>
      </c>
      <c r="H33" s="28"/>
      <c r="I33" s="22"/>
      <c r="J33" s="51">
        <v>22440000</v>
      </c>
      <c r="K33" s="77"/>
      <c r="L33" s="77"/>
      <c r="M33" s="49">
        <f t="shared" si="0"/>
        <v>22440000</v>
      </c>
      <c r="N33" s="51">
        <v>0</v>
      </c>
      <c r="O33" s="50"/>
      <c r="P33" s="50">
        <v>9775.23</v>
      </c>
      <c r="Q33" s="50">
        <v>9775.23</v>
      </c>
      <c r="R33" s="51">
        <f t="shared" si="1"/>
        <v>0</v>
      </c>
    </row>
    <row r="34" spans="1:18" s="3" customFormat="1" ht="21.75" customHeight="1">
      <c r="A34" s="78">
        <v>17</v>
      </c>
      <c r="B34" s="22" t="s">
        <v>86</v>
      </c>
      <c r="C34" s="23" t="s">
        <v>43</v>
      </c>
      <c r="D34" s="46">
        <v>15000000</v>
      </c>
      <c r="E34" s="67">
        <v>43981</v>
      </c>
      <c r="F34" s="48" t="s">
        <v>44</v>
      </c>
      <c r="G34" s="50">
        <v>2.75</v>
      </c>
      <c r="H34" s="28"/>
      <c r="I34" s="28"/>
      <c r="J34" s="50">
        <v>15000000</v>
      </c>
      <c r="K34" s="28"/>
      <c r="L34" s="28"/>
      <c r="M34" s="49">
        <f t="shared" si="0"/>
        <v>15000000</v>
      </c>
      <c r="N34" s="28">
        <v>0</v>
      </c>
      <c r="O34" s="28"/>
      <c r="P34" s="28">
        <v>12328.77</v>
      </c>
      <c r="Q34" s="28">
        <v>12328.77</v>
      </c>
      <c r="R34" s="51">
        <f t="shared" si="1"/>
        <v>0</v>
      </c>
    </row>
    <row r="35" spans="1:18" s="3" customFormat="1" ht="21.75" customHeight="1">
      <c r="A35" s="78">
        <v>18</v>
      </c>
      <c r="B35" s="22" t="s">
        <v>91</v>
      </c>
      <c r="C35" s="23" t="s">
        <v>43</v>
      </c>
      <c r="D35" s="46">
        <v>1800000</v>
      </c>
      <c r="E35" s="67">
        <v>44185</v>
      </c>
      <c r="F35" s="48" t="s">
        <v>44</v>
      </c>
      <c r="G35" s="50">
        <v>2.75</v>
      </c>
      <c r="H35" s="28"/>
      <c r="I35" s="28"/>
      <c r="J35" s="50">
        <v>1800000</v>
      </c>
      <c r="K35" s="28"/>
      <c r="L35" s="28"/>
      <c r="M35" s="49">
        <f t="shared" si="0"/>
        <v>1800000</v>
      </c>
      <c r="N35" s="28"/>
      <c r="O35" s="28"/>
      <c r="P35" s="28"/>
      <c r="Q35" s="28"/>
      <c r="R35" s="51">
        <f t="shared" si="1"/>
        <v>0</v>
      </c>
    </row>
    <row r="36" spans="1:18" s="3" customFormat="1" ht="18.75" customHeight="1">
      <c r="A36" s="45" t="s">
        <v>2</v>
      </c>
      <c r="B36" s="22"/>
      <c r="C36" s="23"/>
      <c r="D36" s="46">
        <f>D17+D18+D19+D20+D22+D23+D24+D25+D26+D27+D28+D29+D30+D31+D32+D34+D35</f>
        <v>105339000</v>
      </c>
      <c r="E36" s="26"/>
      <c r="F36" s="48"/>
      <c r="G36" s="28"/>
      <c r="H36" s="28">
        <f>H17+H18+H19+H20+H22+H23+H24+H25+H26+H27+H28+H29+H30+H31+H32</f>
        <v>82435000</v>
      </c>
      <c r="I36" s="79">
        <v>42894</v>
      </c>
      <c r="J36" s="50">
        <f>J17+J18+J19+J20+J22+J23+J24+J25+J26+J27+J28+J29+J30+J31+J32+J33+J34+J35</f>
        <v>16800000</v>
      </c>
      <c r="K36" s="28"/>
      <c r="L36" s="28"/>
      <c r="M36" s="28">
        <f>M17+M18+M19+M20+M22+M23+M24+M25+M26+M27+M28+M29+M30+M31+M32+M33+M34+M35</f>
        <v>99235000</v>
      </c>
      <c r="N36" s="28">
        <f>N17+N18+N19+N20+N22+N23+N24+N25+N26+N27+N28+N29+N30+N31+N32</f>
        <v>0</v>
      </c>
      <c r="O36" s="50">
        <f t="shared" ref="O36" si="2">O17+O18+O19+O20+O22+O23+O24+O25+O26+O27+O28+O29+O30+O31+O32</f>
        <v>199284.36000000002</v>
      </c>
      <c r="P36" s="50">
        <f>P17+P18+P19+P20+P22+P23+P24+P25+P26+P27+P28+P29+P30+P31+P32+P33+P34+P35</f>
        <v>1383537.47</v>
      </c>
      <c r="Q36" s="50">
        <f>Q17+Q18+Q19+Q20+Q22+Q23+Q24+Q25+Q26+Q27+Q28+Q29+Q30+Q31+Q32+Q33+Q34+Q35</f>
        <v>1448092.14</v>
      </c>
      <c r="R36" s="50">
        <f>R17+R18+R19+R20+R22+R23+R24+R25+R26+R27+R28+R29+R30+R31+R32++R33+R34+R35</f>
        <v>134729.69000000003</v>
      </c>
    </row>
    <row r="37" spans="1:18" s="3" customFormat="1" ht="18.75" customHeight="1">
      <c r="A37" s="80"/>
      <c r="B37" s="23"/>
      <c r="C37" s="23"/>
      <c r="D37" s="81"/>
      <c r="E37" s="25"/>
      <c r="F37" s="25"/>
      <c r="G37" s="27"/>
      <c r="H37" s="27"/>
      <c r="I37" s="82"/>
      <c r="J37" s="58"/>
      <c r="K37" s="27"/>
      <c r="L37" s="27"/>
      <c r="M37" s="27"/>
      <c r="N37" s="27"/>
      <c r="O37" s="58"/>
      <c r="P37" s="58"/>
      <c r="Q37" s="58"/>
      <c r="R37" s="58"/>
    </row>
    <row r="38" spans="1:18" s="3" customFormat="1" ht="31.5" customHeight="1">
      <c r="A38" s="83" t="s">
        <v>21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5"/>
    </row>
    <row r="39" spans="1:18" s="3" customFormat="1" ht="31.5" customHeight="1">
      <c r="A39" s="42">
        <v>1</v>
      </c>
      <c r="B39" s="22" t="s">
        <v>45</v>
      </c>
      <c r="C39" s="23" t="s">
        <v>48</v>
      </c>
      <c r="D39" s="51">
        <v>11000000</v>
      </c>
      <c r="E39" s="47">
        <v>42944</v>
      </c>
      <c r="F39" s="48" t="s">
        <v>44</v>
      </c>
      <c r="G39" s="43">
        <v>15.8</v>
      </c>
      <c r="H39" s="51">
        <v>10000000</v>
      </c>
      <c r="I39" s="43"/>
      <c r="J39" s="43"/>
      <c r="K39" s="66" t="s">
        <v>53</v>
      </c>
      <c r="L39" s="51">
        <v>10000000</v>
      </c>
      <c r="M39" s="51">
        <v>0</v>
      </c>
      <c r="N39" s="51">
        <v>0</v>
      </c>
      <c r="O39" s="51">
        <v>0</v>
      </c>
      <c r="P39" s="50">
        <f>134191.78+121205.48+12986.3</f>
        <v>268383.56</v>
      </c>
      <c r="Q39" s="50">
        <f>134191.78+121205.48+12986.3</f>
        <v>268383.56</v>
      </c>
      <c r="R39" s="51">
        <f>M39+P39-Q39</f>
        <v>0</v>
      </c>
    </row>
    <row r="40" spans="1:18" s="3" customFormat="1" ht="31.5" customHeight="1" thickBot="1">
      <c r="A40" s="41">
        <v>2</v>
      </c>
      <c r="B40" s="22" t="s">
        <v>46</v>
      </c>
      <c r="C40" s="23" t="s">
        <v>48</v>
      </c>
      <c r="D40" s="51">
        <v>8000000</v>
      </c>
      <c r="E40" s="47">
        <v>43075</v>
      </c>
      <c r="F40" s="48" t="s">
        <v>44</v>
      </c>
      <c r="G40" s="43">
        <v>13.47</v>
      </c>
      <c r="H40" s="51">
        <v>8000000</v>
      </c>
      <c r="I40" s="43"/>
      <c r="J40" s="43"/>
      <c r="K40" s="63" t="s">
        <v>53</v>
      </c>
      <c r="L40" s="51">
        <v>8000000</v>
      </c>
      <c r="M40" s="51">
        <v>0</v>
      </c>
      <c r="N40" s="51">
        <v>0</v>
      </c>
      <c r="O40" s="51">
        <v>0</v>
      </c>
      <c r="P40" s="50">
        <f>91540.54+82681.78+8858.76</f>
        <v>183081.08000000002</v>
      </c>
      <c r="Q40" s="50">
        <f>91540.54+82681.78+8858.76</f>
        <v>183081.08000000002</v>
      </c>
      <c r="R40" s="51">
        <f t="shared" ref="R40:R41" si="3">M40+P40-Q40</f>
        <v>0</v>
      </c>
    </row>
    <row r="41" spans="1:18" s="3" customFormat="1" ht="47.25" customHeight="1" thickBot="1">
      <c r="A41" s="33">
        <v>3</v>
      </c>
      <c r="B41" s="22" t="s">
        <v>47</v>
      </c>
      <c r="C41" s="23" t="s">
        <v>49</v>
      </c>
      <c r="D41" s="46">
        <v>10000000</v>
      </c>
      <c r="E41" s="47">
        <v>43283</v>
      </c>
      <c r="F41" s="48" t="s">
        <v>44</v>
      </c>
      <c r="G41" s="28">
        <v>16.03</v>
      </c>
      <c r="H41" s="58">
        <v>10000000</v>
      </c>
      <c r="I41" s="28"/>
      <c r="J41" s="62"/>
      <c r="K41" s="65" t="s">
        <v>54</v>
      </c>
      <c r="L41" s="59">
        <v>10000000</v>
      </c>
      <c r="M41" s="51">
        <v>0</v>
      </c>
      <c r="N41" s="51">
        <v>0</v>
      </c>
      <c r="O41" s="51">
        <v>0</v>
      </c>
      <c r="P41" s="50">
        <f>136145.21+122969.86+4391.78</f>
        <v>263506.85000000003</v>
      </c>
      <c r="Q41" s="50">
        <f>136145.21+122969.86+4391.78</f>
        <v>263506.85000000003</v>
      </c>
      <c r="R41" s="51">
        <f t="shared" si="3"/>
        <v>0</v>
      </c>
    </row>
    <row r="42" spans="1:18" s="3" customFormat="1" ht="18.75" customHeight="1">
      <c r="A42" s="35" t="s">
        <v>2</v>
      </c>
      <c r="B42" s="22"/>
      <c r="C42" s="23"/>
      <c r="D42" s="46">
        <f>D39+D40+D41</f>
        <v>29000000</v>
      </c>
      <c r="E42" s="46"/>
      <c r="F42" s="46"/>
      <c r="G42" s="46"/>
      <c r="H42" s="46">
        <f t="shared" ref="H42:R42" si="4">H39+H40+H41</f>
        <v>28000000</v>
      </c>
      <c r="I42" s="46"/>
      <c r="J42" s="46">
        <f t="shared" si="4"/>
        <v>0</v>
      </c>
      <c r="K42" s="64"/>
      <c r="L42" s="46">
        <f t="shared" si="4"/>
        <v>28000000</v>
      </c>
      <c r="M42" s="46">
        <f t="shared" si="4"/>
        <v>0</v>
      </c>
      <c r="N42" s="46">
        <f t="shared" si="4"/>
        <v>0</v>
      </c>
      <c r="O42" s="46">
        <f>O39+O40+O41</f>
        <v>0</v>
      </c>
      <c r="P42" s="46">
        <f t="shared" si="4"/>
        <v>714971.49</v>
      </c>
      <c r="Q42" s="46">
        <f t="shared" si="4"/>
        <v>714971.49</v>
      </c>
      <c r="R42" s="46">
        <f t="shared" si="4"/>
        <v>0</v>
      </c>
    </row>
    <row r="43" spans="1:18" s="3" customFormat="1" ht="15" customHeight="1">
      <c r="A43" s="83" t="s">
        <v>22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</row>
    <row r="44" spans="1:18" s="3" customFormat="1" ht="8.25" customHeight="1">
      <c r="A44" s="33"/>
      <c r="B44" s="22"/>
      <c r="C44" s="23"/>
      <c r="D44" s="24"/>
      <c r="E44" s="25"/>
      <c r="F44" s="26"/>
      <c r="G44" s="28"/>
      <c r="H44" s="27"/>
      <c r="I44" s="28"/>
      <c r="J44" s="28"/>
      <c r="K44" s="28"/>
      <c r="L44" s="29"/>
      <c r="M44" s="28"/>
      <c r="N44" s="28"/>
      <c r="O44" s="28"/>
      <c r="P44" s="28"/>
      <c r="Q44" s="28"/>
      <c r="R44" s="34"/>
    </row>
    <row r="45" spans="1:18" s="3" customFormat="1" ht="18.75" customHeight="1">
      <c r="A45" s="35" t="s">
        <v>52</v>
      </c>
      <c r="B45" s="22"/>
      <c r="C45" s="23"/>
      <c r="D45" s="46">
        <f>D36+D42</f>
        <v>134339000</v>
      </c>
      <c r="E45" s="46"/>
      <c r="F45" s="46"/>
      <c r="G45" s="46"/>
      <c r="H45" s="46">
        <f t="shared" ref="H45:R45" si="5">H36+H42</f>
        <v>110435000</v>
      </c>
      <c r="I45" s="46"/>
      <c r="J45" s="46">
        <f t="shared" si="5"/>
        <v>16800000</v>
      </c>
      <c r="K45" s="46"/>
      <c r="L45" s="46">
        <f t="shared" si="5"/>
        <v>28000000</v>
      </c>
      <c r="M45" s="46">
        <f t="shared" si="5"/>
        <v>99235000</v>
      </c>
      <c r="N45" s="46">
        <f t="shared" si="5"/>
        <v>0</v>
      </c>
      <c r="O45" s="46">
        <f t="shared" si="5"/>
        <v>199284.36000000002</v>
      </c>
      <c r="P45" s="46">
        <f t="shared" si="5"/>
        <v>2098508.96</v>
      </c>
      <c r="Q45" s="46">
        <f t="shared" si="5"/>
        <v>2163063.63</v>
      </c>
      <c r="R45" s="46">
        <f t="shared" si="5"/>
        <v>134729.69000000003</v>
      </c>
    </row>
    <row r="46" spans="1:18" s="19" customFormat="1" ht="33" hidden="1" customHeight="1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</row>
    <row r="47" spans="1:18" ht="10.5" customHeight="1">
      <c r="A47" s="14"/>
      <c r="B47" s="15"/>
      <c r="C47" s="15"/>
      <c r="D47" s="16"/>
      <c r="E47" s="18"/>
      <c r="F47" s="18"/>
      <c r="G47" s="20"/>
      <c r="H47" s="20"/>
      <c r="I47" s="21"/>
      <c r="J47" s="21"/>
      <c r="K47" s="21"/>
      <c r="L47" s="21"/>
      <c r="M47" s="20"/>
      <c r="N47" s="20"/>
      <c r="O47" s="20"/>
      <c r="P47" s="20"/>
      <c r="Q47" s="20"/>
      <c r="R47" s="20"/>
    </row>
    <row r="48" spans="1:18">
      <c r="A48" s="36" t="s">
        <v>75</v>
      </c>
      <c r="B48" s="37"/>
      <c r="C48" s="37"/>
      <c r="D48" s="38"/>
      <c r="E48" s="39"/>
      <c r="F48" s="39"/>
      <c r="H48" s="36"/>
      <c r="I48" s="36"/>
    </row>
    <row r="50" spans="1:9">
      <c r="A50" s="36" t="s">
        <v>50</v>
      </c>
      <c r="B50" s="37"/>
      <c r="C50" s="37"/>
      <c r="D50" s="38"/>
      <c r="E50" s="39"/>
      <c r="F50" s="39"/>
      <c r="H50" s="36"/>
      <c r="I50" s="36"/>
    </row>
    <row r="52" spans="1:9">
      <c r="A52" s="36" t="s">
        <v>51</v>
      </c>
      <c r="B52" s="37"/>
      <c r="C52" s="37"/>
      <c r="D52" s="38"/>
      <c r="E52" s="39"/>
      <c r="F52" s="39"/>
      <c r="H52" s="36"/>
      <c r="I52" s="36"/>
    </row>
    <row r="56" spans="1:9">
      <c r="A56" s="36"/>
      <c r="B56" s="37"/>
      <c r="C56" s="37"/>
      <c r="D56" s="38"/>
      <c r="E56" s="39"/>
      <c r="F56" s="39"/>
      <c r="H56" s="36"/>
      <c r="I56" s="36"/>
    </row>
    <row r="67" spans="2:2" ht="16.5" customHeight="1"/>
    <row r="68" spans="2:2" ht="30" customHeight="1">
      <c r="B68" s="17"/>
    </row>
  </sheetData>
  <mergeCells count="25">
    <mergeCell ref="Q1:R2"/>
    <mergeCell ref="A3:R3"/>
    <mergeCell ref="E7:L7"/>
    <mergeCell ref="A10:A11"/>
    <mergeCell ref="I10:I11"/>
    <mergeCell ref="J10:J11"/>
    <mergeCell ref="K10:K11"/>
    <mergeCell ref="L10:L11"/>
    <mergeCell ref="M10:N10"/>
    <mergeCell ref="A43:R43"/>
    <mergeCell ref="A46:R46"/>
    <mergeCell ref="O10:O11"/>
    <mergeCell ref="P10:P11"/>
    <mergeCell ref="Q10:Q11"/>
    <mergeCell ref="R10:R11"/>
    <mergeCell ref="A13:R13"/>
    <mergeCell ref="A16:R16"/>
    <mergeCell ref="H10:H11"/>
    <mergeCell ref="B10:B11"/>
    <mergeCell ref="C10:C11"/>
    <mergeCell ref="D10:D11"/>
    <mergeCell ref="E10:E11"/>
    <mergeCell ref="F10:F11"/>
    <mergeCell ref="A38:R38"/>
    <mergeCell ref="G10:G11"/>
  </mergeCells>
  <phoneticPr fontId="7" type="noConversion"/>
  <pageMargins left="0.23" right="0.16" top="0.26" bottom="0.26" header="0.5" footer="0.5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view="pageBreakPreview" topLeftCell="A5" zoomScale="60" zoomScaleNormal="100" workbookViewId="0">
      <selection activeCell="P19" sqref="P19"/>
    </sheetView>
  </sheetViews>
  <sheetFormatPr defaultRowHeight="12.75"/>
  <cols>
    <col min="2" max="2" width="13.42578125" customWidth="1"/>
    <col min="3" max="3" width="9.140625" customWidth="1"/>
    <col min="4" max="4" width="13.140625" customWidth="1"/>
    <col min="5" max="5" width="12.140625" customWidth="1"/>
    <col min="7" max="7" width="9.28515625" bestFit="1" customWidth="1"/>
    <col min="8" max="8" width="14.42578125" customWidth="1"/>
    <col min="9" max="12" width="9.28515625" bestFit="1" customWidth="1"/>
    <col min="13" max="13" width="14.5703125" customWidth="1"/>
    <col min="14" max="14" width="11.5703125" bestFit="1" customWidth="1"/>
    <col min="15" max="15" width="10.7109375" customWidth="1"/>
    <col min="16" max="16" width="11.42578125" customWidth="1"/>
    <col min="17" max="17" width="10.42578125" bestFit="1" customWidth="1"/>
    <col min="18" max="18" width="11.5703125" bestFit="1" customWidth="1"/>
  </cols>
  <sheetData>
    <row r="1" spans="1:20" ht="18.75">
      <c r="A1" s="93" t="s">
        <v>93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87" t="s">
        <v>24</v>
      </c>
      <c r="C8" s="87" t="s">
        <v>11</v>
      </c>
      <c r="D8" s="87" t="s">
        <v>25</v>
      </c>
      <c r="E8" s="87" t="s">
        <v>26</v>
      </c>
      <c r="F8" s="87" t="s">
        <v>7</v>
      </c>
      <c r="G8" s="87" t="s">
        <v>0</v>
      </c>
      <c r="H8" s="87" t="s">
        <v>16</v>
      </c>
      <c r="I8" s="87" t="s">
        <v>8</v>
      </c>
      <c r="J8" s="87" t="s">
        <v>12</v>
      </c>
      <c r="K8" s="87" t="s">
        <v>9</v>
      </c>
      <c r="L8" s="87" t="s">
        <v>13</v>
      </c>
      <c r="M8" s="96" t="s">
        <v>23</v>
      </c>
      <c r="N8" s="97"/>
      <c r="O8" s="87" t="s">
        <v>4</v>
      </c>
      <c r="P8" s="87" t="s">
        <v>20</v>
      </c>
      <c r="Q8" s="87" t="s">
        <v>19</v>
      </c>
      <c r="R8" s="87" t="s">
        <v>18</v>
      </c>
      <c r="S8" s="1"/>
      <c r="T8" s="1"/>
    </row>
    <row r="9" spans="1:20" ht="45">
      <c r="A9" s="95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57" t="s">
        <v>14</v>
      </c>
      <c r="N9" s="57" t="s">
        <v>17</v>
      </c>
      <c r="O9" s="88"/>
      <c r="P9" s="88"/>
      <c r="Q9" s="88"/>
      <c r="R9" s="88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89" t="s">
        <v>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3" t="s">
        <v>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3"/>
      <c r="T14" s="3"/>
    </row>
    <row r="15" spans="1:20" ht="105">
      <c r="A15" s="43">
        <v>1</v>
      </c>
      <c r="B15" s="22" t="s">
        <v>60</v>
      </c>
      <c r="C15" s="22" t="s">
        <v>64</v>
      </c>
      <c r="D15" s="46">
        <v>800000</v>
      </c>
      <c r="E15" s="67">
        <v>42819</v>
      </c>
      <c r="F15" s="26" t="s">
        <v>71</v>
      </c>
      <c r="G15" s="50">
        <f>8.25*1/3</f>
        <v>2.75</v>
      </c>
      <c r="H15" s="28">
        <v>500000</v>
      </c>
      <c r="I15" s="43"/>
      <c r="J15" s="43"/>
      <c r="K15" s="43"/>
      <c r="L15" s="43"/>
      <c r="M15" s="51">
        <f>H15+J15-L15</f>
        <v>500000</v>
      </c>
      <c r="N15" s="51">
        <v>500000</v>
      </c>
      <c r="O15" s="50">
        <v>2943.64</v>
      </c>
      <c r="P15" s="50">
        <f>1415.53+1278.54+40.6+17+2027.4+39.81+34+1335.62+50.62+27.63+1309.36+56.74+26.21+1267.12+20.97+1309.36+8.34+40.7+1309.36+17.14+40.7+1267.12+24.75+33.92</f>
        <v>12998.540000000003</v>
      </c>
      <c r="Q15" s="50">
        <f>8.86+10593.84</f>
        <v>10602.7</v>
      </c>
      <c r="R15" s="51">
        <f>O15+P15-Q15</f>
        <v>5339.4800000000014</v>
      </c>
      <c r="S15" s="3"/>
      <c r="T15" s="3"/>
    </row>
    <row r="16" spans="1:20" ht="105">
      <c r="A16" s="43">
        <v>2</v>
      </c>
      <c r="B16" s="22" t="s">
        <v>61</v>
      </c>
      <c r="C16" s="22" t="s">
        <v>64</v>
      </c>
      <c r="D16" s="46">
        <v>1500000</v>
      </c>
      <c r="E16" s="67">
        <v>43459</v>
      </c>
      <c r="F16" s="26" t="s">
        <v>71</v>
      </c>
      <c r="G16" s="50">
        <v>2.75</v>
      </c>
      <c r="H16" s="28">
        <v>1361500</v>
      </c>
      <c r="I16" s="43"/>
      <c r="J16" s="43"/>
      <c r="K16" s="43"/>
      <c r="L16" s="43"/>
      <c r="M16" s="51">
        <f t="shared" ref="M16:M18" si="0">H16+J16-L16</f>
        <v>1361500</v>
      </c>
      <c r="N16" s="43"/>
      <c r="O16" s="50">
        <v>36809.01</v>
      </c>
      <c r="P16" s="50">
        <f>3854.47+3481.46+36+379.53+3842.04+72+311.92+3636.88+58.5+317.11+3565.39+55.5+325.59+3450.38+55.5+316.54+3565.39+66.6+253.31+3565.39+66.6+382.28+3450.38+55.5+388.83</f>
        <v>35553.089999999997</v>
      </c>
      <c r="Q16" s="50">
        <f>3565.39+1556.15+292.61</f>
        <v>5414.15</v>
      </c>
      <c r="R16" s="51">
        <f t="shared" ref="R16:R18" si="1">O16+P16-Q16</f>
        <v>66947.950000000012</v>
      </c>
      <c r="S16" s="3"/>
      <c r="T16" s="3"/>
    </row>
    <row r="17" spans="1:20" ht="105">
      <c r="A17" s="43">
        <v>3</v>
      </c>
      <c r="B17" s="22" t="s">
        <v>62</v>
      </c>
      <c r="C17" s="22" t="s">
        <v>64</v>
      </c>
      <c r="D17" s="46">
        <v>1750000</v>
      </c>
      <c r="E17" s="67">
        <v>43671</v>
      </c>
      <c r="F17" s="26" t="s">
        <v>71</v>
      </c>
      <c r="G17" s="50">
        <v>2.75</v>
      </c>
      <c r="H17" s="28">
        <v>1750000</v>
      </c>
      <c r="I17" s="43"/>
      <c r="J17" s="43"/>
      <c r="K17" s="43"/>
      <c r="L17" s="43"/>
      <c r="M17" s="51">
        <f t="shared" si="0"/>
        <v>1750000</v>
      </c>
      <c r="N17" s="43"/>
      <c r="O17" s="50">
        <v>19578.36</v>
      </c>
      <c r="P17" s="50">
        <f>4954.34+4474.89+10+182.73+4938.36+16.67+169.72+4674.66+97.5+190.91+4582.76+18.5+211.73+4434.93+15.42+212.5+4582.76+18.5+357.12+4582.76+18.5+285.42+4434.93+15.42+301.96</f>
        <v>43782.99</v>
      </c>
      <c r="Q17" s="50">
        <f>4954.34+3790+897.76</f>
        <v>9642.1</v>
      </c>
      <c r="R17" s="51">
        <f t="shared" si="1"/>
        <v>53719.25</v>
      </c>
      <c r="S17" s="3"/>
      <c r="T17" s="3"/>
    </row>
    <row r="18" spans="1:20" ht="105">
      <c r="A18" s="43">
        <v>4</v>
      </c>
      <c r="B18" s="22" t="s">
        <v>63</v>
      </c>
      <c r="C18" s="22" t="s">
        <v>64</v>
      </c>
      <c r="D18" s="46">
        <v>1420000</v>
      </c>
      <c r="E18" s="67">
        <v>43824</v>
      </c>
      <c r="F18" s="26" t="s">
        <v>71</v>
      </c>
      <c r="G18" s="50">
        <v>2.75</v>
      </c>
      <c r="H18" s="28">
        <v>1420000</v>
      </c>
      <c r="I18" s="43"/>
      <c r="J18" s="43"/>
      <c r="K18" s="43"/>
      <c r="L18" s="43"/>
      <c r="M18" s="51">
        <f t="shared" si="0"/>
        <v>1420000</v>
      </c>
      <c r="N18" s="43"/>
      <c r="O18" s="50">
        <v>11174.12</v>
      </c>
      <c r="P18" s="50">
        <f>4020.09+3631.05+141.61+4007.12+132.62+3793.15+150.05+3718.58+166.67+3598.63+164.06+3718.58+196.62+3718.58+221.97+3598.63+235.7</f>
        <v>35213.709999999992</v>
      </c>
      <c r="Q18" s="50">
        <f>21.61+3718.58+590.95</f>
        <v>4331.1400000000003</v>
      </c>
      <c r="R18" s="51">
        <f t="shared" si="1"/>
        <v>42056.689999999995</v>
      </c>
      <c r="S18" s="3"/>
      <c r="T18" s="3"/>
    </row>
    <row r="19" spans="1:20" ht="15">
      <c r="A19" s="44"/>
      <c r="B19" s="22"/>
      <c r="C19" s="22"/>
      <c r="D19" s="46">
        <f>D15+D16+D17+D18</f>
        <v>5470000</v>
      </c>
      <c r="E19" s="46"/>
      <c r="F19" s="46"/>
      <c r="G19" s="46"/>
      <c r="H19" s="46">
        <f t="shared" ref="H19:R19" si="2">H15+H16+H17+H18</f>
        <v>5031500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0</v>
      </c>
      <c r="M19" s="46">
        <f t="shared" si="2"/>
        <v>5031500</v>
      </c>
      <c r="N19" s="46">
        <f t="shared" si="2"/>
        <v>500000</v>
      </c>
      <c r="O19" s="46">
        <f t="shared" si="2"/>
        <v>70505.13</v>
      </c>
      <c r="P19" s="46">
        <f t="shared" si="2"/>
        <v>127548.32999999999</v>
      </c>
      <c r="Q19" s="46">
        <f t="shared" si="2"/>
        <v>29990.09</v>
      </c>
      <c r="R19" s="46">
        <f t="shared" si="2"/>
        <v>168063.37</v>
      </c>
      <c r="S19" s="3"/>
      <c r="T19" s="3"/>
    </row>
    <row r="20" spans="1:20" ht="15">
      <c r="A20" s="45" t="s">
        <v>2</v>
      </c>
      <c r="B20" s="22"/>
      <c r="C20" s="22"/>
      <c r="D20" s="24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3"/>
      <c r="T20" s="3"/>
    </row>
    <row r="21" spans="1:20" ht="15">
      <c r="A21" s="98" t="s">
        <v>21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3"/>
      <c r="T21" s="3"/>
    </row>
    <row r="22" spans="1:20" ht="15">
      <c r="A22" s="44"/>
      <c r="B22" s="22"/>
      <c r="C22" s="22"/>
      <c r="D22" s="24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3"/>
      <c r="T22" s="3"/>
    </row>
    <row r="23" spans="1:20" ht="15">
      <c r="A23" s="45" t="s">
        <v>2</v>
      </c>
      <c r="B23" s="22"/>
      <c r="C23" s="22"/>
      <c r="D23" s="24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3"/>
      <c r="T23" s="3"/>
    </row>
    <row r="24" spans="1:20" ht="15">
      <c r="A24" s="98" t="s">
        <v>22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3"/>
      <c r="T24" s="3"/>
    </row>
    <row r="25" spans="1:20" ht="15">
      <c r="A25" s="33"/>
      <c r="B25" s="22"/>
      <c r="C25" s="23"/>
      <c r="D25" s="24"/>
      <c r="E25" s="25"/>
      <c r="F25" s="26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34"/>
      <c r="S25" s="3"/>
      <c r="T25" s="3"/>
    </row>
    <row r="26" spans="1:20" ht="15.75" customHeight="1">
      <c r="A26" s="35" t="s">
        <v>52</v>
      </c>
      <c r="B26" s="22"/>
      <c r="C26" s="23"/>
      <c r="D26" s="46">
        <f>D19</f>
        <v>5470000</v>
      </c>
      <c r="E26" s="25"/>
      <c r="F26" s="26"/>
      <c r="G26" s="28"/>
      <c r="H26" s="27">
        <f>H19</f>
        <v>5031500</v>
      </c>
      <c r="I26" s="27">
        <f t="shared" ref="I26:R26" si="3">I19</f>
        <v>0</v>
      </c>
      <c r="J26" s="27">
        <f t="shared" si="3"/>
        <v>0</v>
      </c>
      <c r="K26" s="27">
        <f t="shared" si="3"/>
        <v>0</v>
      </c>
      <c r="L26" s="27">
        <f t="shared" si="3"/>
        <v>0</v>
      </c>
      <c r="M26" s="27">
        <f t="shared" si="3"/>
        <v>5031500</v>
      </c>
      <c r="N26" s="27">
        <f t="shared" si="3"/>
        <v>500000</v>
      </c>
      <c r="O26" s="27">
        <f t="shared" si="3"/>
        <v>70505.13</v>
      </c>
      <c r="P26" s="27">
        <f t="shared" si="3"/>
        <v>127548.32999999999</v>
      </c>
      <c r="Q26" s="27">
        <f t="shared" si="3"/>
        <v>29990.09</v>
      </c>
      <c r="R26" s="27">
        <f t="shared" si="3"/>
        <v>168063.37</v>
      </c>
      <c r="S26" s="3"/>
      <c r="T26" s="3"/>
    </row>
    <row r="27" spans="1:20" ht="34.5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19"/>
      <c r="T27" s="19"/>
    </row>
    <row r="28" spans="1:20" ht="18.75">
      <c r="A28" s="14"/>
      <c r="B28" s="15"/>
      <c r="C28" s="15"/>
      <c r="D28" s="16"/>
      <c r="E28" s="18"/>
      <c r="F28" s="18"/>
      <c r="G28" s="20"/>
      <c r="H28" s="20"/>
      <c r="I28" s="21"/>
      <c r="J28" s="21"/>
      <c r="K28" s="21"/>
      <c r="L28" s="21"/>
      <c r="M28" s="20"/>
      <c r="N28" s="20"/>
      <c r="O28" s="20"/>
      <c r="P28" s="20"/>
      <c r="Q28" s="20"/>
      <c r="R28" s="20"/>
      <c r="S28" s="1"/>
      <c r="T28" s="1"/>
    </row>
    <row r="29" spans="1:20">
      <c r="A29" s="36" t="s">
        <v>76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77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4"/>
      <c r="C32" s="4"/>
      <c r="D32" s="8"/>
      <c r="E32" s="10"/>
      <c r="F32" s="1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36" t="s">
        <v>78</v>
      </c>
      <c r="B33" s="37"/>
      <c r="C33" s="37"/>
      <c r="D33" s="38"/>
      <c r="E33" s="39"/>
      <c r="F33" s="39"/>
      <c r="G33" s="1"/>
      <c r="H33" s="36"/>
      <c r="I33" s="3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4:R24"/>
    <mergeCell ref="A27:R27"/>
    <mergeCell ref="P8:P9"/>
    <mergeCell ref="Q8:Q9"/>
    <mergeCell ref="R8:R9"/>
    <mergeCell ref="A11:R11"/>
    <mergeCell ref="A14:R14"/>
    <mergeCell ref="A21:R21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"/>
  <sheetViews>
    <sheetView view="pageBreakPreview" zoomScale="60" zoomScaleNormal="100" workbookViewId="0">
      <selection activeCell="P18" sqref="P18"/>
    </sheetView>
  </sheetViews>
  <sheetFormatPr defaultRowHeight="12.75"/>
  <cols>
    <col min="1" max="1" width="9.28515625" bestFit="1" customWidth="1"/>
    <col min="2" max="2" width="10.5703125" customWidth="1"/>
    <col min="3" max="3" width="12.42578125" customWidth="1"/>
    <col min="4" max="4" width="12.7109375" bestFit="1" customWidth="1"/>
    <col min="5" max="5" width="12.7109375" customWidth="1"/>
    <col min="6" max="7" width="9.28515625" bestFit="1" customWidth="1"/>
    <col min="8" max="8" width="10.7109375" customWidth="1"/>
    <col min="9" max="11" width="9.28515625" bestFit="1" customWidth="1"/>
    <col min="12" max="12" width="10" customWidth="1"/>
    <col min="13" max="13" width="11.28515625" customWidth="1"/>
    <col min="14" max="16" width="9.28515625" bestFit="1" customWidth="1"/>
    <col min="17" max="17" width="10.42578125" bestFit="1" customWidth="1"/>
    <col min="18" max="18" width="12.42578125" customWidth="1"/>
  </cols>
  <sheetData>
    <row r="1" spans="1:20" ht="18.75">
      <c r="A1" s="93" t="s">
        <v>94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87" t="s">
        <v>24</v>
      </c>
      <c r="C8" s="87" t="s">
        <v>11</v>
      </c>
      <c r="D8" s="87" t="s">
        <v>25</v>
      </c>
      <c r="E8" s="87" t="s">
        <v>26</v>
      </c>
      <c r="F8" s="87" t="s">
        <v>7</v>
      </c>
      <c r="G8" s="87" t="s">
        <v>0</v>
      </c>
      <c r="H8" s="87" t="s">
        <v>16</v>
      </c>
      <c r="I8" s="87" t="s">
        <v>8</v>
      </c>
      <c r="J8" s="87" t="s">
        <v>12</v>
      </c>
      <c r="K8" s="87" t="s">
        <v>9</v>
      </c>
      <c r="L8" s="87" t="s">
        <v>13</v>
      </c>
      <c r="M8" s="96" t="s">
        <v>23</v>
      </c>
      <c r="N8" s="97"/>
      <c r="O8" s="87" t="s">
        <v>4</v>
      </c>
      <c r="P8" s="87" t="s">
        <v>20</v>
      </c>
      <c r="Q8" s="87" t="s">
        <v>19</v>
      </c>
      <c r="R8" s="87" t="s">
        <v>18</v>
      </c>
      <c r="S8" s="1"/>
      <c r="T8" s="1"/>
    </row>
    <row r="9" spans="1:20" ht="78.75">
      <c r="A9" s="95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57" t="s">
        <v>14</v>
      </c>
      <c r="N9" s="57" t="s">
        <v>17</v>
      </c>
      <c r="O9" s="88"/>
      <c r="P9" s="88"/>
      <c r="Q9" s="88"/>
      <c r="R9" s="88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89" t="s">
        <v>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3" t="s">
        <v>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3"/>
      <c r="T14" s="3"/>
    </row>
    <row r="15" spans="1:20" ht="15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"/>
      <c r="T15" s="3"/>
    </row>
    <row r="16" spans="1:20" ht="75">
      <c r="A16" s="43">
        <v>1</v>
      </c>
      <c r="B16" s="22" t="s">
        <v>65</v>
      </c>
      <c r="C16" s="22" t="s">
        <v>64</v>
      </c>
      <c r="D16" s="46">
        <v>500000</v>
      </c>
      <c r="E16" s="67">
        <v>42819</v>
      </c>
      <c r="F16" s="26" t="s">
        <v>71</v>
      </c>
      <c r="G16" s="43">
        <v>2.75</v>
      </c>
      <c r="H16" s="28">
        <v>38000</v>
      </c>
      <c r="I16" s="43"/>
      <c r="J16" s="43"/>
      <c r="K16" s="43"/>
      <c r="L16" s="28">
        <v>38000</v>
      </c>
      <c r="M16" s="49">
        <f>H16+J16-L16</f>
        <v>0</v>
      </c>
      <c r="N16" s="43"/>
      <c r="O16" s="50">
        <v>114.5</v>
      </c>
      <c r="P16" s="50">
        <f>107.58+97.17+14+1.07+69.41+0.8+0.74</f>
        <v>290.77000000000004</v>
      </c>
      <c r="Q16" s="50">
        <f>107.58+111.17+1.07+0.8+69.41+114.5+0.74</f>
        <v>405.27</v>
      </c>
      <c r="R16" s="51">
        <f>O16+P16-Q16</f>
        <v>0</v>
      </c>
      <c r="S16" s="3"/>
      <c r="T16" s="3"/>
    </row>
    <row r="17" spans="1:20" ht="75">
      <c r="A17" s="68">
        <v>2</v>
      </c>
      <c r="B17" s="22" t="s">
        <v>66</v>
      </c>
      <c r="C17" s="22" t="s">
        <v>64</v>
      </c>
      <c r="D17" s="46">
        <v>700000</v>
      </c>
      <c r="E17" s="67">
        <v>43459</v>
      </c>
      <c r="F17" s="26" t="s">
        <v>71</v>
      </c>
      <c r="G17" s="50">
        <v>2.75</v>
      </c>
      <c r="H17" s="28">
        <v>480000</v>
      </c>
      <c r="I17" s="28"/>
      <c r="J17" s="28"/>
      <c r="K17" s="28"/>
      <c r="L17" s="28">
        <f>60000+20000+20000+20000+20000+20000+20000</f>
        <v>180000</v>
      </c>
      <c r="M17" s="49">
        <f>H17+J17-L17</f>
        <v>300000</v>
      </c>
      <c r="N17" s="28"/>
      <c r="O17" s="50">
        <v>3318.07</v>
      </c>
      <c r="P17" s="50">
        <f>1358.9+1227.4+20+30.84+1354.52+23.13+1102.33+21.48+1001.87+924.16+898.81+844.75+768.72</f>
        <v>9576.91</v>
      </c>
      <c r="Q17" s="50">
        <f>1372.52+30.84+1247.4+23.13+1354.52+41.48+4428.26+960.39+924.16+898.81+844.75</f>
        <v>12126.26</v>
      </c>
      <c r="R17" s="51">
        <f>O17+P17-Q17</f>
        <v>768.71999999999935</v>
      </c>
      <c r="S17" s="3"/>
      <c r="T17" s="3"/>
    </row>
    <row r="18" spans="1:20" ht="15">
      <c r="A18" s="35" t="s">
        <v>2</v>
      </c>
      <c r="B18" s="22"/>
      <c r="C18" s="23"/>
      <c r="D18" s="46">
        <f>D16+D17</f>
        <v>1200000</v>
      </c>
      <c r="E18" s="25"/>
      <c r="F18" s="26"/>
      <c r="G18" s="28"/>
      <c r="H18" s="27">
        <f>H16+H17</f>
        <v>518000</v>
      </c>
      <c r="I18" s="27">
        <f t="shared" ref="I18:R18" si="0">I16+I17</f>
        <v>0</v>
      </c>
      <c r="J18" s="27">
        <f t="shared" si="0"/>
        <v>0</v>
      </c>
      <c r="K18" s="27">
        <f t="shared" si="0"/>
        <v>0</v>
      </c>
      <c r="L18" s="27">
        <f t="shared" si="0"/>
        <v>218000</v>
      </c>
      <c r="M18" s="27">
        <f t="shared" si="0"/>
        <v>300000</v>
      </c>
      <c r="N18" s="27">
        <f t="shared" si="0"/>
        <v>0</v>
      </c>
      <c r="O18" s="27">
        <f t="shared" si="0"/>
        <v>3432.57</v>
      </c>
      <c r="P18" s="27">
        <f t="shared" si="0"/>
        <v>9867.68</v>
      </c>
      <c r="Q18" s="27">
        <f t="shared" si="0"/>
        <v>12531.53</v>
      </c>
      <c r="R18" s="58">
        <f t="shared" si="0"/>
        <v>768.71999999999935</v>
      </c>
      <c r="S18" s="3"/>
      <c r="T18" s="3"/>
    </row>
    <row r="19" spans="1:20" ht="15">
      <c r="A19" s="83" t="s">
        <v>21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5"/>
      <c r="S19" s="3"/>
      <c r="T19" s="3"/>
    </row>
    <row r="20" spans="1:20" ht="15">
      <c r="A20" s="33"/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35" t="s">
        <v>2</v>
      </c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83" t="s">
        <v>22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5"/>
      <c r="S22" s="3"/>
      <c r="T22" s="3"/>
    </row>
    <row r="23" spans="1:20" ht="15">
      <c r="A23" s="33"/>
      <c r="B23" s="22"/>
      <c r="C23" s="23"/>
      <c r="D23" s="24"/>
      <c r="E23" s="25"/>
      <c r="F23" s="26"/>
      <c r="G23" s="28"/>
      <c r="H23" s="27"/>
      <c r="I23" s="28"/>
      <c r="J23" s="28"/>
      <c r="K23" s="28"/>
      <c r="L23" s="29"/>
      <c r="M23" s="28"/>
      <c r="N23" s="28"/>
      <c r="O23" s="28"/>
      <c r="P23" s="28"/>
      <c r="Q23" s="28"/>
      <c r="R23" s="34"/>
      <c r="S23" s="3"/>
      <c r="T23" s="3"/>
    </row>
    <row r="24" spans="1:20" ht="15">
      <c r="A24" s="35" t="s">
        <v>52</v>
      </c>
      <c r="B24" s="22"/>
      <c r="C24" s="23"/>
      <c r="D24" s="46">
        <f>D18</f>
        <v>1200000</v>
      </c>
      <c r="E24" s="25"/>
      <c r="F24" s="26"/>
      <c r="G24" s="28"/>
      <c r="H24" s="27">
        <f>H18</f>
        <v>518000</v>
      </c>
      <c r="I24" s="27">
        <f t="shared" ref="I24:R24" si="1">I18</f>
        <v>0</v>
      </c>
      <c r="J24" s="27">
        <f t="shared" si="1"/>
        <v>0</v>
      </c>
      <c r="K24" s="27">
        <f t="shared" si="1"/>
        <v>0</v>
      </c>
      <c r="L24" s="27">
        <f t="shared" si="1"/>
        <v>218000</v>
      </c>
      <c r="M24" s="27">
        <f t="shared" si="1"/>
        <v>300000</v>
      </c>
      <c r="N24" s="27">
        <f t="shared" si="1"/>
        <v>0</v>
      </c>
      <c r="O24" s="27">
        <f t="shared" si="1"/>
        <v>3432.57</v>
      </c>
      <c r="P24" s="27">
        <f t="shared" si="1"/>
        <v>9867.68</v>
      </c>
      <c r="Q24" s="27">
        <f t="shared" si="1"/>
        <v>12531.53</v>
      </c>
      <c r="R24" s="58">
        <f t="shared" si="1"/>
        <v>768.71999999999935</v>
      </c>
      <c r="S24" s="3"/>
      <c r="T24" s="3"/>
    </row>
    <row r="25" spans="1:20" ht="15" thickBot="1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1"/>
      <c r="S25" s="19"/>
      <c r="T25" s="19"/>
    </row>
    <row r="26" spans="1:20" ht="18.75">
      <c r="A26" s="14"/>
      <c r="B26" s="15"/>
      <c r="C26" s="15"/>
      <c r="D26" s="16"/>
      <c r="E26" s="18"/>
      <c r="F26" s="18"/>
      <c r="G26" s="20"/>
      <c r="H26" s="20"/>
      <c r="I26" s="21"/>
      <c r="J26" s="21"/>
      <c r="K26" s="21"/>
      <c r="L26" s="21"/>
      <c r="M26" s="20"/>
      <c r="N26" s="20"/>
      <c r="O26" s="20"/>
      <c r="P26" s="20"/>
      <c r="Q26" s="20"/>
      <c r="R26" s="20"/>
      <c r="S26" s="1"/>
      <c r="T26" s="1"/>
    </row>
    <row r="27" spans="1:20">
      <c r="A27" s="36" t="s">
        <v>89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88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/>
      <c r="B30" s="4"/>
      <c r="C30" s="4"/>
      <c r="D30" s="8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36" t="s">
        <v>90</v>
      </c>
      <c r="B31" s="37"/>
      <c r="C31" s="37"/>
      <c r="D31" s="38"/>
      <c r="E31" s="39"/>
      <c r="F31" s="39"/>
      <c r="G31" s="1"/>
      <c r="H31" s="36"/>
      <c r="I31" s="3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2:R22"/>
    <mergeCell ref="A25:R25"/>
    <mergeCell ref="P8:P9"/>
    <mergeCell ref="Q8:Q9"/>
    <mergeCell ref="R8:R9"/>
    <mergeCell ref="A11:R11"/>
    <mergeCell ref="A14:R14"/>
    <mergeCell ref="A19:R19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topLeftCell="A11" zoomScale="60" zoomScaleNormal="100" workbookViewId="0">
      <selection activeCell="P18" sqref="P18"/>
    </sheetView>
  </sheetViews>
  <sheetFormatPr defaultRowHeight="12.75"/>
  <cols>
    <col min="2" max="2" width="14.85546875" customWidth="1"/>
    <col min="3" max="3" width="14.42578125" customWidth="1"/>
    <col min="4" max="4" width="17.85546875" customWidth="1"/>
    <col min="5" max="5" width="16.7109375" customWidth="1"/>
    <col min="7" max="7" width="9.28515625" bestFit="1" customWidth="1"/>
    <col min="8" max="8" width="12.42578125" customWidth="1"/>
    <col min="11" max="11" width="10.5703125" customWidth="1"/>
    <col min="12" max="12" width="11.7109375" customWidth="1"/>
    <col min="13" max="13" width="12.85546875" customWidth="1"/>
    <col min="15" max="15" width="9.42578125" bestFit="1" customWidth="1"/>
    <col min="16" max="16" width="11.28515625" customWidth="1"/>
    <col min="17" max="17" width="10.42578125" customWidth="1"/>
  </cols>
  <sheetData>
    <row r="1" spans="1:20" ht="18.75">
      <c r="A1" s="93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87" t="s">
        <v>24</v>
      </c>
      <c r="C8" s="87" t="s">
        <v>11</v>
      </c>
      <c r="D8" s="87" t="s">
        <v>25</v>
      </c>
      <c r="E8" s="87" t="s">
        <v>26</v>
      </c>
      <c r="F8" s="87" t="s">
        <v>7</v>
      </c>
      <c r="G8" s="87" t="s">
        <v>0</v>
      </c>
      <c r="H8" s="87" t="s">
        <v>16</v>
      </c>
      <c r="I8" s="87" t="s">
        <v>8</v>
      </c>
      <c r="J8" s="87" t="s">
        <v>12</v>
      </c>
      <c r="K8" s="87" t="s">
        <v>9</v>
      </c>
      <c r="L8" s="87" t="s">
        <v>13</v>
      </c>
      <c r="M8" s="96" t="s">
        <v>23</v>
      </c>
      <c r="N8" s="97"/>
      <c r="O8" s="87" t="s">
        <v>4</v>
      </c>
      <c r="P8" s="87" t="s">
        <v>20</v>
      </c>
      <c r="Q8" s="87" t="s">
        <v>19</v>
      </c>
      <c r="R8" s="87" t="s">
        <v>18</v>
      </c>
      <c r="S8" s="1"/>
      <c r="T8" s="1"/>
    </row>
    <row r="9" spans="1:20" ht="78.75">
      <c r="A9" s="95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57" t="s">
        <v>14</v>
      </c>
      <c r="N9" s="57" t="s">
        <v>17</v>
      </c>
      <c r="O9" s="88"/>
      <c r="P9" s="88"/>
      <c r="Q9" s="88"/>
      <c r="R9" s="88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89" t="s">
        <v>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3" t="s">
        <v>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3"/>
      <c r="T14" s="3"/>
    </row>
    <row r="15" spans="1:20" ht="131.25">
      <c r="A15" s="60">
        <v>1</v>
      </c>
      <c r="B15" s="69" t="s">
        <v>67</v>
      </c>
      <c r="C15" s="71" t="s">
        <v>64</v>
      </c>
      <c r="D15" s="72">
        <v>780000</v>
      </c>
      <c r="E15" s="73">
        <v>42389</v>
      </c>
      <c r="F15" s="74" t="s">
        <v>71</v>
      </c>
      <c r="G15" s="43">
        <v>2.75</v>
      </c>
      <c r="H15" s="75">
        <v>113382</v>
      </c>
      <c r="I15" s="43"/>
      <c r="J15" s="43"/>
      <c r="K15" s="75"/>
      <c r="L15" s="75">
        <f>8154+8154+8154+8154+8154+8154+8154+8154</f>
        <v>65232</v>
      </c>
      <c r="M15" s="49">
        <f>H15+J15-L15</f>
        <v>48150</v>
      </c>
      <c r="N15" s="43"/>
      <c r="O15" s="76">
        <v>322.10000000000002</v>
      </c>
      <c r="P15" s="76">
        <f>317.88+257.91+274.82+65.23+1.81+241.16+2.22+195.66+184.02+30.17+0.72+172.93+1.39+155.02+1.13+90.73</f>
        <v>1992.8000000000004</v>
      </c>
      <c r="Q15" s="76">
        <f>317.88+322.1+257.91+274.82+65.23+1.81+241.16+2.22+195.66+214.91+330.47</f>
        <v>2224.17</v>
      </c>
      <c r="R15" s="51">
        <f>O15+P15-Q15</f>
        <v>90.730000000000473</v>
      </c>
      <c r="S15" s="3"/>
      <c r="T15" s="3"/>
    </row>
    <row r="16" spans="1:20" ht="131.25">
      <c r="A16" s="60">
        <v>2</v>
      </c>
      <c r="B16" s="69" t="s">
        <v>68</v>
      </c>
      <c r="C16" s="71" t="s">
        <v>64</v>
      </c>
      <c r="D16" s="72">
        <v>500000</v>
      </c>
      <c r="E16" s="73">
        <v>42819</v>
      </c>
      <c r="F16" s="74" t="s">
        <v>71</v>
      </c>
      <c r="G16" s="43">
        <v>2.75</v>
      </c>
      <c r="H16" s="75">
        <v>159279</v>
      </c>
      <c r="I16" s="43"/>
      <c r="J16" s="43"/>
      <c r="K16" s="75"/>
      <c r="L16" s="75">
        <f>42565+8513+8513+8513</f>
        <v>68104</v>
      </c>
      <c r="M16" s="49">
        <f t="shared" ref="M16:M18" si="0">H16+J16-L16</f>
        <v>91175</v>
      </c>
      <c r="N16" s="43"/>
      <c r="O16" s="76">
        <v>454.81</v>
      </c>
      <c r="P16" s="76">
        <f>450.93+373.86+401.43+2.62+68.1+361.04+3.07+311.45+295.85+31.5+1.15+287.66+2.13+268.97+1.88+164.4</f>
        <v>3026.0400000000004</v>
      </c>
      <c r="Q16" s="76">
        <f>450.93+454.81+373.86+401.43+2.62+68.1+361.04+3.07+311.45+328.5+560.64</f>
        <v>3316.45</v>
      </c>
      <c r="R16" s="51">
        <f t="shared" ref="R16:R18" si="1">O16+P16-Q16</f>
        <v>164.40000000000055</v>
      </c>
      <c r="S16" s="3"/>
      <c r="T16" s="3"/>
    </row>
    <row r="17" spans="1:20" ht="131.25">
      <c r="A17" s="60">
        <v>3</v>
      </c>
      <c r="B17" s="69" t="s">
        <v>69</v>
      </c>
      <c r="C17" s="71" t="s">
        <v>64</v>
      </c>
      <c r="D17" s="72">
        <v>204000</v>
      </c>
      <c r="E17" s="73">
        <v>43758</v>
      </c>
      <c r="F17" s="74" t="s">
        <v>71</v>
      </c>
      <c r="G17" s="43">
        <v>2.75</v>
      </c>
      <c r="H17" s="75">
        <v>204000</v>
      </c>
      <c r="I17" s="43"/>
      <c r="J17" s="43"/>
      <c r="K17" s="75"/>
      <c r="L17" s="75">
        <v>0</v>
      </c>
      <c r="M17" s="49">
        <f t="shared" si="0"/>
        <v>204000</v>
      </c>
      <c r="N17" s="43"/>
      <c r="O17" s="76">
        <v>577.53</v>
      </c>
      <c r="P17" s="76">
        <f>577.53+521.64+575.67+3.65+544.93+3.77+534.22+516.99+19.77+534.22+3.48+534.22+3.48+516.99</f>
        <v>4890.5599999999986</v>
      </c>
      <c r="Q17" s="76">
        <f>577.53+577.53+521.64+575.67+3.65+544.93+3.77+534.22+536.76+1075.4</f>
        <v>4951.1000000000004</v>
      </c>
      <c r="R17" s="51">
        <f t="shared" si="1"/>
        <v>516.98999999999796</v>
      </c>
      <c r="S17" s="3"/>
      <c r="T17" s="3"/>
    </row>
    <row r="18" spans="1:20" ht="131.25">
      <c r="A18" s="70">
        <v>4</v>
      </c>
      <c r="B18" s="69" t="s">
        <v>70</v>
      </c>
      <c r="C18" s="71" t="s">
        <v>64</v>
      </c>
      <c r="D18" s="72">
        <v>216000</v>
      </c>
      <c r="E18" s="73">
        <v>43758</v>
      </c>
      <c r="F18" s="74" t="s">
        <v>71</v>
      </c>
      <c r="G18" s="43">
        <v>2.75</v>
      </c>
      <c r="H18" s="75">
        <v>216000</v>
      </c>
      <c r="I18" s="28"/>
      <c r="J18" s="28"/>
      <c r="K18" s="75"/>
      <c r="L18" s="75">
        <v>0</v>
      </c>
      <c r="M18" s="49">
        <f t="shared" si="0"/>
        <v>216000</v>
      </c>
      <c r="N18" s="28"/>
      <c r="O18" s="76">
        <v>611.51</v>
      </c>
      <c r="P18" s="76">
        <f>611.51+552.33+609.53+3.87+576.99+3.99+565.64+547.4+2.09+565.64+3.56+565.64+3.69+547.4</f>
        <v>5159.2799999999988</v>
      </c>
      <c r="Q18" s="76">
        <f>611.51+611.51+552.33+609.53+3.87+576.99+3.99+565.64+549.49+1138.53</f>
        <v>5223.3899999999994</v>
      </c>
      <c r="R18" s="51">
        <f t="shared" si="1"/>
        <v>547.39999999999964</v>
      </c>
      <c r="S18" s="3"/>
      <c r="T18" s="3"/>
    </row>
    <row r="19" spans="1:20" ht="15">
      <c r="A19" s="35" t="s">
        <v>2</v>
      </c>
      <c r="B19" s="22"/>
      <c r="C19" s="23"/>
      <c r="D19" s="46">
        <f>D15+D16+D17+D18</f>
        <v>1700000</v>
      </c>
      <c r="E19" s="46"/>
      <c r="F19" s="46"/>
      <c r="G19" s="46"/>
      <c r="H19" s="46">
        <f t="shared" ref="H19:R19" si="2">H15+H16+H17+H18</f>
        <v>692661</v>
      </c>
      <c r="I19" s="46">
        <f t="shared" si="2"/>
        <v>0</v>
      </c>
      <c r="J19" s="46">
        <f t="shared" si="2"/>
        <v>0</v>
      </c>
      <c r="K19" s="46">
        <f t="shared" si="2"/>
        <v>0</v>
      </c>
      <c r="L19" s="46">
        <f t="shared" si="2"/>
        <v>133336</v>
      </c>
      <c r="M19" s="46">
        <f t="shared" si="2"/>
        <v>559325</v>
      </c>
      <c r="N19" s="46">
        <f t="shared" si="2"/>
        <v>0</v>
      </c>
      <c r="O19" s="46">
        <f t="shared" si="2"/>
        <v>1965.95</v>
      </c>
      <c r="P19" s="46">
        <f t="shared" si="2"/>
        <v>15068.679999999998</v>
      </c>
      <c r="Q19" s="46">
        <f t="shared" si="2"/>
        <v>15715.11</v>
      </c>
      <c r="R19" s="46">
        <f t="shared" si="2"/>
        <v>1319.5199999999986</v>
      </c>
      <c r="S19" s="3"/>
      <c r="T19" s="3"/>
    </row>
    <row r="20" spans="1:20" ht="15">
      <c r="A20" s="83" t="s">
        <v>21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83" t="s">
        <v>22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5"/>
      <c r="S23" s="3"/>
      <c r="T23" s="3"/>
    </row>
    <row r="24" spans="1:20" ht="15">
      <c r="A24" s="33"/>
      <c r="B24" s="22"/>
      <c r="C24" s="23"/>
      <c r="D24" s="24"/>
      <c r="E24" s="25"/>
      <c r="F24" s="26"/>
      <c r="G24" s="28"/>
      <c r="H24" s="27"/>
      <c r="I24" s="28"/>
      <c r="J24" s="28"/>
      <c r="K24" s="28"/>
      <c r="L24" s="29"/>
      <c r="M24" s="28"/>
      <c r="N24" s="28"/>
      <c r="O24" s="28"/>
      <c r="P24" s="28"/>
      <c r="Q24" s="28"/>
      <c r="R24" s="34"/>
      <c r="S24" s="3"/>
      <c r="T24" s="3"/>
    </row>
    <row r="25" spans="1:20" ht="15">
      <c r="A25" s="35" t="s">
        <v>52</v>
      </c>
      <c r="B25" s="22"/>
      <c r="C25" s="23"/>
      <c r="D25" s="46">
        <f>D19</f>
        <v>1700000</v>
      </c>
      <c r="E25" s="46"/>
      <c r="F25" s="26"/>
      <c r="G25" s="28"/>
      <c r="H25" s="27">
        <f>H19</f>
        <v>692661</v>
      </c>
      <c r="I25" s="27">
        <f t="shared" ref="I25:R25" si="3">I19</f>
        <v>0</v>
      </c>
      <c r="J25" s="27">
        <f t="shared" si="3"/>
        <v>0</v>
      </c>
      <c r="K25" s="27">
        <f t="shared" si="3"/>
        <v>0</v>
      </c>
      <c r="L25" s="27">
        <f t="shared" si="3"/>
        <v>133336</v>
      </c>
      <c r="M25" s="27">
        <f t="shared" si="3"/>
        <v>559325</v>
      </c>
      <c r="N25" s="27">
        <f t="shared" si="3"/>
        <v>0</v>
      </c>
      <c r="O25" s="27">
        <f t="shared" si="3"/>
        <v>1965.95</v>
      </c>
      <c r="P25" s="27">
        <f t="shared" si="3"/>
        <v>15068.679999999998</v>
      </c>
      <c r="Q25" s="27">
        <f t="shared" si="3"/>
        <v>15715.11</v>
      </c>
      <c r="R25" s="27">
        <f t="shared" si="3"/>
        <v>1319.5199999999986</v>
      </c>
      <c r="S25" s="3"/>
      <c r="T25" s="3"/>
    </row>
    <row r="26" spans="1:20" ht="15" thickBo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1"/>
      <c r="S26" s="19"/>
      <c r="T26" s="19"/>
    </row>
    <row r="27" spans="1:20" ht="18.75">
      <c r="A27" s="14"/>
      <c r="B27" s="15"/>
      <c r="C27" s="15"/>
      <c r="D27" s="16"/>
      <c r="E27" s="18"/>
      <c r="F27" s="18"/>
      <c r="G27" s="20"/>
      <c r="H27" s="20"/>
      <c r="I27" s="21"/>
      <c r="J27" s="21"/>
      <c r="K27" s="21"/>
      <c r="L27" s="21"/>
      <c r="M27" s="20"/>
      <c r="N27" s="20"/>
      <c r="O27" s="20"/>
      <c r="P27" s="20"/>
      <c r="Q27" s="20"/>
      <c r="R27" s="20"/>
      <c r="S27" s="1"/>
      <c r="T27" s="1"/>
    </row>
    <row r="28" spans="1:20">
      <c r="A28" s="36" t="s">
        <v>72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73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>
      <c r="A31" s="1"/>
      <c r="B31" s="4"/>
      <c r="C31" s="4"/>
      <c r="D31" s="8"/>
      <c r="E31" s="10"/>
      <c r="F31" s="1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36" t="s">
        <v>74</v>
      </c>
      <c r="B32" s="37"/>
      <c r="C32" s="37"/>
      <c r="D32" s="38"/>
      <c r="E32" s="39"/>
      <c r="F32" s="39"/>
      <c r="G32" s="1"/>
      <c r="H32" s="36"/>
      <c r="I32" s="3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3:R23"/>
    <mergeCell ref="A26:R26"/>
    <mergeCell ref="P8:P9"/>
    <mergeCell ref="Q8:Q9"/>
    <mergeCell ref="R8:R9"/>
    <mergeCell ref="A11:R11"/>
    <mergeCell ref="A14:R14"/>
    <mergeCell ref="A20:R20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0"/>
  <sheetViews>
    <sheetView view="pageBreakPreview" zoomScale="60" zoomScaleNormal="100" workbookViewId="0">
      <selection activeCell="P17" sqref="P17"/>
    </sheetView>
  </sheetViews>
  <sheetFormatPr defaultRowHeight="12.75"/>
  <cols>
    <col min="2" max="2" width="13" customWidth="1"/>
    <col min="3" max="3" width="11.140625" customWidth="1"/>
    <col min="4" max="4" width="14.7109375" customWidth="1"/>
    <col min="5" max="5" width="14.85546875" customWidth="1"/>
    <col min="7" max="7" width="9.28515625" bestFit="1" customWidth="1"/>
    <col min="8" max="8" width="13.7109375" customWidth="1"/>
    <col min="9" max="11" width="9.28515625" bestFit="1" customWidth="1"/>
    <col min="12" max="12" width="14.140625" customWidth="1"/>
    <col min="13" max="13" width="11.5703125" bestFit="1" customWidth="1"/>
    <col min="14" max="14" width="9.28515625" bestFit="1" customWidth="1"/>
    <col min="15" max="15" width="11.85546875" customWidth="1"/>
    <col min="16" max="16" width="12.140625" customWidth="1"/>
    <col min="17" max="17" width="12.5703125" customWidth="1"/>
    <col min="18" max="18" width="9.28515625" bestFit="1" customWidth="1"/>
  </cols>
  <sheetData>
    <row r="1" spans="1:20" ht="18.75">
      <c r="A1" s="93" t="s">
        <v>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87" t="s">
        <v>24</v>
      </c>
      <c r="C8" s="87" t="s">
        <v>11</v>
      </c>
      <c r="D8" s="87" t="s">
        <v>25</v>
      </c>
      <c r="E8" s="87" t="s">
        <v>26</v>
      </c>
      <c r="F8" s="87" t="s">
        <v>7</v>
      </c>
      <c r="G8" s="87" t="s">
        <v>0</v>
      </c>
      <c r="H8" s="87" t="s">
        <v>16</v>
      </c>
      <c r="I8" s="87" t="s">
        <v>8</v>
      </c>
      <c r="J8" s="87" t="s">
        <v>12</v>
      </c>
      <c r="K8" s="87" t="s">
        <v>9</v>
      </c>
      <c r="L8" s="87" t="s">
        <v>13</v>
      </c>
      <c r="M8" s="96" t="s">
        <v>23</v>
      </c>
      <c r="N8" s="97"/>
      <c r="O8" s="87" t="s">
        <v>4</v>
      </c>
      <c r="P8" s="87" t="s">
        <v>20</v>
      </c>
      <c r="Q8" s="87" t="s">
        <v>19</v>
      </c>
      <c r="R8" s="87" t="s">
        <v>18</v>
      </c>
      <c r="S8" s="1"/>
      <c r="T8" s="1"/>
    </row>
    <row r="9" spans="1:20" ht="78.75">
      <c r="A9" s="95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57" t="s">
        <v>14</v>
      </c>
      <c r="N9" s="57" t="s">
        <v>17</v>
      </c>
      <c r="O9" s="88"/>
      <c r="P9" s="88"/>
      <c r="Q9" s="88"/>
      <c r="R9" s="88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89" t="s">
        <v>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3" t="s">
        <v>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3"/>
      <c r="T14" s="3"/>
    </row>
    <row r="15" spans="1:20" ht="150">
      <c r="A15" s="43">
        <v>1</v>
      </c>
      <c r="B15" s="69" t="s">
        <v>82</v>
      </c>
      <c r="C15" s="69" t="s">
        <v>64</v>
      </c>
      <c r="D15" s="72">
        <v>1100000</v>
      </c>
      <c r="E15" s="73">
        <v>42819</v>
      </c>
      <c r="F15" s="61" t="s">
        <v>84</v>
      </c>
      <c r="G15" s="43">
        <v>2.75</v>
      </c>
      <c r="H15" s="75">
        <v>118000</v>
      </c>
      <c r="I15" s="43"/>
      <c r="J15" s="43"/>
      <c r="K15" s="43"/>
      <c r="L15" s="75">
        <f>31000+31000+56000</f>
        <v>118000</v>
      </c>
      <c r="M15" s="49">
        <f>H15+J15-L15</f>
        <v>0</v>
      </c>
      <c r="N15" s="43"/>
      <c r="O15" s="76">
        <v>348.22</v>
      </c>
      <c r="P15" s="76">
        <f>334.06+180+76.71+0.5</f>
        <v>591.27</v>
      </c>
      <c r="Q15" s="76">
        <f>682.28+180+76.71+0.5</f>
        <v>939.49</v>
      </c>
      <c r="R15" s="51">
        <f>O15+P15-Q15</f>
        <v>0</v>
      </c>
      <c r="S15" s="3"/>
      <c r="T15" s="3"/>
    </row>
    <row r="16" spans="1:20" ht="150">
      <c r="A16" s="68">
        <v>2</v>
      </c>
      <c r="B16" s="69" t="s">
        <v>83</v>
      </c>
      <c r="C16" s="69" t="s">
        <v>64</v>
      </c>
      <c r="D16" s="72">
        <v>836000</v>
      </c>
      <c r="E16" s="73">
        <v>43758</v>
      </c>
      <c r="F16" s="61" t="s">
        <v>84</v>
      </c>
      <c r="G16" s="43">
        <v>2.75</v>
      </c>
      <c r="H16" s="75">
        <v>836000</v>
      </c>
      <c r="I16" s="28"/>
      <c r="J16" s="28"/>
      <c r="K16" s="28"/>
      <c r="L16" s="75"/>
      <c r="M16" s="49">
        <f>H16+J16-L16</f>
        <v>836000</v>
      </c>
      <c r="N16" s="28"/>
      <c r="O16" s="76">
        <v>2366.7600000000002</v>
      </c>
      <c r="P16" s="76">
        <f>2366.76+2137.72+2282.77+2233.15+14.84+2189.25+2118.63+6.4+2189.25+14.5+2189.25+2118.63</f>
        <v>19861.149999999998</v>
      </c>
      <c r="Q16" s="76">
        <f>4733.52+2137.72+2282.77+2233.15+14.84+2189.25+4328.78+2189.25</f>
        <v>20109.28</v>
      </c>
      <c r="R16" s="51">
        <f>O16+P16-Q16</f>
        <v>2118.6299999999974</v>
      </c>
      <c r="S16" s="3"/>
      <c r="T16" s="3"/>
    </row>
    <row r="17" spans="1:20" ht="15">
      <c r="A17" s="45" t="s">
        <v>2</v>
      </c>
      <c r="B17" s="22"/>
      <c r="C17" s="22"/>
      <c r="D17" s="46">
        <f>D15+D16</f>
        <v>1936000</v>
      </c>
      <c r="E17" s="46"/>
      <c r="F17" s="46"/>
      <c r="G17" s="46"/>
      <c r="H17" s="46">
        <f t="shared" ref="H17:R17" si="0">H15+H16</f>
        <v>954000</v>
      </c>
      <c r="I17" s="46">
        <f t="shared" si="0"/>
        <v>0</v>
      </c>
      <c r="J17" s="46">
        <f t="shared" si="0"/>
        <v>0</v>
      </c>
      <c r="K17" s="46">
        <f t="shared" si="0"/>
        <v>0</v>
      </c>
      <c r="L17" s="46">
        <f t="shared" si="0"/>
        <v>118000</v>
      </c>
      <c r="M17" s="46">
        <f t="shared" si="0"/>
        <v>836000</v>
      </c>
      <c r="N17" s="46">
        <f t="shared" si="0"/>
        <v>0</v>
      </c>
      <c r="O17" s="46">
        <f t="shared" si="0"/>
        <v>2714.9800000000005</v>
      </c>
      <c r="P17" s="46">
        <f t="shared" si="0"/>
        <v>20452.419999999998</v>
      </c>
      <c r="Q17" s="46">
        <f t="shared" si="0"/>
        <v>21048.77</v>
      </c>
      <c r="R17" s="46">
        <f t="shared" si="0"/>
        <v>2118.6299999999974</v>
      </c>
      <c r="S17" s="3"/>
      <c r="T17" s="3"/>
    </row>
    <row r="18" spans="1:20" ht="15">
      <c r="A18" s="83" t="s">
        <v>21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5"/>
      <c r="S18" s="3"/>
      <c r="T18" s="3"/>
    </row>
    <row r="19" spans="1:20" ht="15">
      <c r="A19" s="33"/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35" t="s">
        <v>2</v>
      </c>
      <c r="B20" s="22"/>
      <c r="C20" s="23"/>
      <c r="D20" s="24"/>
      <c r="E20" s="25"/>
      <c r="F20" s="26"/>
      <c r="G20" s="28"/>
      <c r="H20" s="27"/>
      <c r="I20" s="28"/>
      <c r="J20" s="28"/>
      <c r="K20" s="28"/>
      <c r="L20" s="29"/>
      <c r="M20" s="28"/>
      <c r="N20" s="28"/>
      <c r="O20" s="28"/>
      <c r="P20" s="28"/>
      <c r="Q20" s="28"/>
      <c r="R20" s="34"/>
      <c r="S20" s="3"/>
      <c r="T20" s="3"/>
    </row>
    <row r="21" spans="1:20" ht="15">
      <c r="A21" s="83" t="s">
        <v>22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  <c r="S21" s="3"/>
      <c r="T21" s="3"/>
    </row>
    <row r="22" spans="1:20" ht="15">
      <c r="A22" s="33"/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>
      <c r="A23" s="35" t="s">
        <v>52</v>
      </c>
      <c r="B23" s="22"/>
      <c r="C23" s="23"/>
      <c r="D23" s="46">
        <f>D17</f>
        <v>1936000</v>
      </c>
      <c r="E23" s="46"/>
      <c r="F23" s="46"/>
      <c r="G23" s="46"/>
      <c r="H23" s="46">
        <f t="shared" ref="H23:R23" si="1">H17</f>
        <v>954000</v>
      </c>
      <c r="I23" s="46">
        <f t="shared" si="1"/>
        <v>0</v>
      </c>
      <c r="J23" s="46">
        <f t="shared" si="1"/>
        <v>0</v>
      </c>
      <c r="K23" s="46">
        <f t="shared" si="1"/>
        <v>0</v>
      </c>
      <c r="L23" s="46">
        <f t="shared" si="1"/>
        <v>118000</v>
      </c>
      <c r="M23" s="46">
        <f t="shared" si="1"/>
        <v>836000</v>
      </c>
      <c r="N23" s="46">
        <f t="shared" si="1"/>
        <v>0</v>
      </c>
      <c r="O23" s="46">
        <f t="shared" si="1"/>
        <v>2714.9800000000005</v>
      </c>
      <c r="P23" s="46">
        <f t="shared" si="1"/>
        <v>20452.419999999998</v>
      </c>
      <c r="Q23" s="46">
        <f t="shared" si="1"/>
        <v>21048.77</v>
      </c>
      <c r="R23" s="46">
        <f t="shared" si="1"/>
        <v>2118.6299999999974</v>
      </c>
      <c r="S23" s="3"/>
      <c r="T23" s="3"/>
    </row>
    <row r="24" spans="1:20" ht="15" thickBot="1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1"/>
      <c r="S24" s="19"/>
      <c r="T24" s="19"/>
    </row>
    <row r="25" spans="1:20" ht="18.75">
      <c r="A25" s="14"/>
      <c r="B25" s="15"/>
      <c r="C25" s="15"/>
      <c r="D25" s="16"/>
      <c r="E25" s="18"/>
      <c r="F25" s="18"/>
      <c r="G25" s="20"/>
      <c r="H25" s="20"/>
      <c r="I25" s="21"/>
      <c r="J25" s="21"/>
      <c r="K25" s="21"/>
      <c r="L25" s="21"/>
      <c r="M25" s="20"/>
      <c r="N25" s="20"/>
      <c r="O25" s="20"/>
      <c r="P25" s="20"/>
      <c r="Q25" s="20"/>
      <c r="R25" s="20"/>
      <c r="S25" s="1"/>
      <c r="T25" s="1"/>
    </row>
    <row r="26" spans="1:20">
      <c r="A26" s="36" t="s">
        <v>79</v>
      </c>
      <c r="B26" s="37"/>
      <c r="C26" s="37"/>
      <c r="D26" s="38"/>
      <c r="E26" s="39"/>
      <c r="F26" s="39"/>
      <c r="G26" s="1"/>
      <c r="H26" s="36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4"/>
      <c r="C27" s="4"/>
      <c r="D27" s="8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36" t="s">
        <v>80</v>
      </c>
      <c r="B28" s="37"/>
      <c r="C28" s="37"/>
      <c r="D28" s="38"/>
      <c r="E28" s="39"/>
      <c r="F28" s="39"/>
      <c r="G28" s="1"/>
      <c r="H28" s="36"/>
      <c r="I28" s="3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4"/>
      <c r="C29" s="4"/>
      <c r="D29" s="8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36" t="s">
        <v>81</v>
      </c>
      <c r="B30" s="37"/>
      <c r="C30" s="37"/>
      <c r="D30" s="38"/>
      <c r="E30" s="39"/>
      <c r="F30" s="39"/>
      <c r="G30" s="1"/>
      <c r="H30" s="36"/>
      <c r="I30" s="3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1:R21"/>
    <mergeCell ref="A24:R24"/>
    <mergeCell ref="P8:P9"/>
    <mergeCell ref="Q8:Q9"/>
    <mergeCell ref="R8:R9"/>
    <mergeCell ref="A11:R11"/>
    <mergeCell ref="A14:R14"/>
    <mergeCell ref="A18:R18"/>
    <mergeCell ref="I8:I9"/>
    <mergeCell ref="J8:J9"/>
    <mergeCell ref="K8:K9"/>
    <mergeCell ref="L8:L9"/>
    <mergeCell ref="M8:N8"/>
    <mergeCell ref="O8:O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topLeftCell="A6" workbookViewId="0">
      <selection activeCell="P15" sqref="P15"/>
    </sheetView>
  </sheetViews>
  <sheetFormatPr defaultRowHeight="12.75"/>
  <cols>
    <col min="4" max="4" width="11.42578125" bestFit="1" customWidth="1"/>
    <col min="8" max="8" width="10.5703125" customWidth="1"/>
    <col min="13" max="13" width="11.28515625" customWidth="1"/>
  </cols>
  <sheetData>
    <row r="1" spans="1:20" ht="18.7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"/>
      <c r="T1" s="1"/>
    </row>
    <row r="2" spans="1:20" ht="1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</row>
    <row r="3" spans="1:20" ht="14.25">
      <c r="A3" s="1"/>
      <c r="B3" s="4"/>
      <c r="C3" s="4"/>
      <c r="D3" s="4"/>
      <c r="E3" s="6"/>
      <c r="F3" s="7"/>
      <c r="G3" s="7" t="s">
        <v>59</v>
      </c>
      <c r="H3" s="7"/>
      <c r="I3" s="7"/>
      <c r="J3" s="7"/>
      <c r="K3" s="7"/>
      <c r="L3" s="7"/>
      <c r="M3" s="7"/>
      <c r="N3" s="7"/>
      <c r="O3" s="7"/>
      <c r="P3" s="7"/>
      <c r="Q3" s="7"/>
      <c r="R3" s="31" t="s">
        <v>6</v>
      </c>
      <c r="S3" s="1"/>
      <c r="T3" s="1"/>
    </row>
    <row r="4" spans="1:20" ht="15">
      <c r="A4" s="1"/>
      <c r="B4" s="4"/>
      <c r="C4" s="4"/>
      <c r="D4" s="8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/>
      <c r="B5" s="4"/>
      <c r="C5" s="4"/>
      <c r="D5" s="8"/>
      <c r="E5" s="94"/>
      <c r="F5" s="94"/>
      <c r="G5" s="94"/>
      <c r="H5" s="94"/>
      <c r="I5" s="94"/>
      <c r="J5" s="94"/>
      <c r="K5" s="94"/>
      <c r="L5" s="94"/>
      <c r="M5" s="52"/>
      <c r="N5" s="52"/>
      <c r="O5" s="1"/>
      <c r="P5" s="1"/>
      <c r="Q5" s="1"/>
      <c r="R5" s="1"/>
      <c r="S5" s="1"/>
      <c r="T5" s="1"/>
    </row>
    <row r="6" spans="1:20">
      <c r="A6" s="1"/>
      <c r="B6" s="4"/>
      <c r="C6" s="4"/>
      <c r="D6" s="8"/>
      <c r="E6" s="10"/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1"/>
      <c r="B7" s="4"/>
      <c r="C7" s="4"/>
      <c r="D7" s="8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95" t="s">
        <v>1</v>
      </c>
      <c r="B8" s="87" t="s">
        <v>24</v>
      </c>
      <c r="C8" s="87" t="s">
        <v>11</v>
      </c>
      <c r="D8" s="87" t="s">
        <v>25</v>
      </c>
      <c r="E8" s="87" t="s">
        <v>26</v>
      </c>
      <c r="F8" s="87" t="s">
        <v>7</v>
      </c>
      <c r="G8" s="87" t="s">
        <v>0</v>
      </c>
      <c r="H8" s="87" t="s">
        <v>16</v>
      </c>
      <c r="I8" s="87" t="s">
        <v>8</v>
      </c>
      <c r="J8" s="87" t="s">
        <v>12</v>
      </c>
      <c r="K8" s="87" t="s">
        <v>9</v>
      </c>
      <c r="L8" s="87" t="s">
        <v>13</v>
      </c>
      <c r="M8" s="96" t="s">
        <v>23</v>
      </c>
      <c r="N8" s="97"/>
      <c r="O8" s="87" t="s">
        <v>4</v>
      </c>
      <c r="P8" s="87" t="s">
        <v>20</v>
      </c>
      <c r="Q8" s="87" t="s">
        <v>19</v>
      </c>
      <c r="R8" s="87" t="s">
        <v>18</v>
      </c>
      <c r="S8" s="1"/>
      <c r="T8" s="1"/>
    </row>
    <row r="9" spans="1:20" ht="78.75">
      <c r="A9" s="95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57" t="s">
        <v>14</v>
      </c>
      <c r="N9" s="57" t="s">
        <v>17</v>
      </c>
      <c r="O9" s="88"/>
      <c r="P9" s="88"/>
      <c r="Q9" s="88"/>
      <c r="R9" s="88"/>
      <c r="S9" s="13"/>
      <c r="T9" s="13"/>
    </row>
    <row r="10" spans="1:20">
      <c r="A10" s="32">
        <v>1</v>
      </c>
      <c r="B10" s="56">
        <v>2</v>
      </c>
      <c r="C10" s="12">
        <v>3</v>
      </c>
      <c r="D10" s="56">
        <v>4</v>
      </c>
      <c r="E10" s="12">
        <v>5</v>
      </c>
      <c r="F10" s="56">
        <v>6</v>
      </c>
      <c r="G10" s="32">
        <v>7</v>
      </c>
      <c r="H10" s="56">
        <v>8</v>
      </c>
      <c r="I10" s="12">
        <v>9</v>
      </c>
      <c r="J10" s="56">
        <v>10</v>
      </c>
      <c r="K10" s="12">
        <v>11</v>
      </c>
      <c r="L10" s="56">
        <v>12</v>
      </c>
      <c r="M10" s="12">
        <v>13</v>
      </c>
      <c r="N10" s="56">
        <v>14</v>
      </c>
      <c r="O10" s="12">
        <v>15</v>
      </c>
      <c r="P10" s="56">
        <v>16</v>
      </c>
      <c r="Q10" s="12">
        <v>17</v>
      </c>
      <c r="R10" s="56">
        <v>18</v>
      </c>
      <c r="S10" s="30"/>
      <c r="T10" s="30"/>
    </row>
    <row r="11" spans="1:20" ht="15">
      <c r="A11" s="89" t="s">
        <v>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3"/>
      <c r="T11" s="3"/>
    </row>
    <row r="12" spans="1:20" ht="15">
      <c r="A12" s="33"/>
      <c r="B12" s="22"/>
      <c r="C12" s="23"/>
      <c r="D12" s="24"/>
      <c r="E12" s="25"/>
      <c r="F12" s="26"/>
      <c r="G12" s="28"/>
      <c r="H12" s="27"/>
      <c r="I12" s="28"/>
      <c r="J12" s="28"/>
      <c r="K12" s="28"/>
      <c r="L12" s="29"/>
      <c r="M12" s="28"/>
      <c r="N12" s="28"/>
      <c r="O12" s="28"/>
      <c r="P12" s="28"/>
      <c r="Q12" s="28"/>
      <c r="R12" s="34"/>
      <c r="S12" s="3"/>
      <c r="T12" s="3"/>
    </row>
    <row r="13" spans="1:20" ht="15">
      <c r="A13" s="35" t="s">
        <v>2</v>
      </c>
      <c r="B13" s="22"/>
      <c r="C13" s="23"/>
      <c r="D13" s="24"/>
      <c r="E13" s="25"/>
      <c r="F13" s="26"/>
      <c r="G13" s="28"/>
      <c r="H13" s="27"/>
      <c r="I13" s="28"/>
      <c r="J13" s="28"/>
      <c r="K13" s="28"/>
      <c r="L13" s="29"/>
      <c r="M13" s="28"/>
      <c r="N13" s="28"/>
      <c r="O13" s="28"/>
      <c r="P13" s="28"/>
      <c r="Q13" s="28"/>
      <c r="R13" s="34"/>
      <c r="S13" s="3"/>
      <c r="T13" s="3"/>
    </row>
    <row r="14" spans="1:20" ht="15">
      <c r="A14" s="83" t="s">
        <v>5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5"/>
      <c r="S14" s="3"/>
      <c r="T14" s="3"/>
    </row>
    <row r="15" spans="1:20" ht="15">
      <c r="A15" s="33">
        <v>1</v>
      </c>
      <c r="B15" s="22"/>
      <c r="C15" s="23"/>
      <c r="D15" s="46">
        <f>Шала!D19+Кривцы!D18+Авдеево!D23+Красноборский!D25</f>
        <v>10306000</v>
      </c>
      <c r="E15" s="46"/>
      <c r="F15" s="46"/>
      <c r="G15" s="46">
        <f>Шала!G19+Кривцы!G18+Авдеево!G23+Красноборский!G25</f>
        <v>0</v>
      </c>
      <c r="H15" s="46">
        <f>Шала!H19+Кривцы!H18+Авдеево!H23+Красноборский!H25</f>
        <v>7196161</v>
      </c>
      <c r="I15" s="46">
        <f>Шала!I19+Кривцы!I18+Авдеево!I23+Красноборский!I25</f>
        <v>0</v>
      </c>
      <c r="J15" s="46">
        <f>Шала!J19+Кривцы!J18+Авдеево!J23+Красноборский!J25</f>
        <v>0</v>
      </c>
      <c r="K15" s="46">
        <f>Шала!K19+Кривцы!K18+Авдеево!K23+Красноборский!K25</f>
        <v>0</v>
      </c>
      <c r="L15" s="46">
        <f>Шала!L19+Кривцы!L18+Авдеево!L23+Красноборский!L25</f>
        <v>469336</v>
      </c>
      <c r="M15" s="46">
        <f>Шала!M19+Кривцы!M18+Авдеево!M23+Красноборский!M25</f>
        <v>6726825</v>
      </c>
      <c r="N15" s="46">
        <f>Шала!N19+Кривцы!N18+Авдеево!N23+Красноборский!N25</f>
        <v>500000</v>
      </c>
      <c r="O15" s="46">
        <f>Шала!O19+Кривцы!O18+Авдеево!O23+Красноборский!O25</f>
        <v>78618.63</v>
      </c>
      <c r="P15" s="46">
        <f>Шала!P19+Кривцы!P18+Авдеево!P23+Красноборский!P25</f>
        <v>172937.11</v>
      </c>
      <c r="Q15" s="46">
        <f>Шала!Q19+Кривцы!Q18+Авдеево!Q23+Красноборский!Q25</f>
        <v>79285.5</v>
      </c>
      <c r="R15" s="46">
        <f>Шала!R19+Кривцы!R18+Авдеево!R23+Красноборский!R25</f>
        <v>172270.24</v>
      </c>
      <c r="S15" s="3"/>
      <c r="T15" s="3"/>
    </row>
    <row r="16" spans="1:20" ht="15">
      <c r="A16" s="35" t="s">
        <v>2</v>
      </c>
      <c r="B16" s="22"/>
      <c r="C16" s="23"/>
      <c r="D16" s="24"/>
      <c r="E16" s="25"/>
      <c r="F16" s="26"/>
      <c r="G16" s="28"/>
      <c r="H16" s="27"/>
      <c r="I16" s="28"/>
      <c r="J16" s="28"/>
      <c r="K16" s="28"/>
      <c r="L16" s="29"/>
      <c r="M16" s="28"/>
      <c r="N16" s="28"/>
      <c r="O16" s="28"/>
      <c r="P16" s="28"/>
      <c r="Q16" s="28"/>
      <c r="R16" s="34"/>
      <c r="S16" s="3"/>
      <c r="T16" s="3"/>
    </row>
    <row r="17" spans="1:20" ht="15">
      <c r="A17" s="83" t="s">
        <v>21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5"/>
      <c r="S17" s="3"/>
      <c r="T17" s="3"/>
    </row>
    <row r="18" spans="1:20" ht="15">
      <c r="A18" s="33"/>
      <c r="B18" s="22"/>
      <c r="C18" s="23"/>
      <c r="D18" s="24"/>
      <c r="E18" s="25"/>
      <c r="F18" s="26"/>
      <c r="G18" s="28"/>
      <c r="H18" s="27"/>
      <c r="I18" s="28"/>
      <c r="J18" s="28"/>
      <c r="K18" s="28"/>
      <c r="L18" s="29"/>
      <c r="M18" s="28"/>
      <c r="N18" s="28"/>
      <c r="O18" s="28"/>
      <c r="P18" s="28"/>
      <c r="Q18" s="28"/>
      <c r="R18" s="34"/>
      <c r="S18" s="3"/>
      <c r="T18" s="3"/>
    </row>
    <row r="19" spans="1:20" ht="15">
      <c r="A19" s="35" t="s">
        <v>2</v>
      </c>
      <c r="B19" s="22"/>
      <c r="C19" s="23"/>
      <c r="D19" s="24"/>
      <c r="E19" s="25"/>
      <c r="F19" s="26"/>
      <c r="G19" s="28"/>
      <c r="H19" s="27"/>
      <c r="I19" s="28"/>
      <c r="J19" s="28"/>
      <c r="K19" s="28"/>
      <c r="L19" s="29"/>
      <c r="M19" s="28"/>
      <c r="N19" s="28"/>
      <c r="O19" s="28"/>
      <c r="P19" s="28"/>
      <c r="Q19" s="28"/>
      <c r="R19" s="34"/>
      <c r="S19" s="3"/>
      <c r="T19" s="3"/>
    </row>
    <row r="20" spans="1:20" ht="15">
      <c r="A20" s="83" t="s">
        <v>22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  <c r="S20" s="3"/>
      <c r="T20" s="3"/>
    </row>
    <row r="21" spans="1:20" ht="15">
      <c r="A21" s="33"/>
      <c r="B21" s="22"/>
      <c r="C21" s="23"/>
      <c r="D21" s="24"/>
      <c r="E21" s="25"/>
      <c r="F21" s="26"/>
      <c r="G21" s="28"/>
      <c r="H21" s="27"/>
      <c r="I21" s="28"/>
      <c r="J21" s="28"/>
      <c r="K21" s="28"/>
      <c r="L21" s="29"/>
      <c r="M21" s="28"/>
      <c r="N21" s="28"/>
      <c r="O21" s="28"/>
      <c r="P21" s="28"/>
      <c r="Q21" s="28"/>
      <c r="R21" s="34"/>
      <c r="S21" s="3"/>
      <c r="T21" s="3"/>
    </row>
    <row r="22" spans="1:20" ht="15">
      <c r="A22" s="35" t="s">
        <v>2</v>
      </c>
      <c r="B22" s="22"/>
      <c r="C22" s="23"/>
      <c r="D22" s="24"/>
      <c r="E22" s="25"/>
      <c r="F22" s="26"/>
      <c r="G22" s="28"/>
      <c r="H22" s="27"/>
      <c r="I22" s="28"/>
      <c r="J22" s="28"/>
      <c r="K22" s="28"/>
      <c r="L22" s="29"/>
      <c r="M22" s="28"/>
      <c r="N22" s="28"/>
      <c r="O22" s="28"/>
      <c r="P22" s="28"/>
      <c r="Q22" s="28"/>
      <c r="R22" s="34"/>
      <c r="S22" s="3"/>
      <c r="T22" s="3"/>
    </row>
    <row r="23" spans="1:20" ht="15" thickBot="1">
      <c r="A23" s="99" t="s">
        <v>56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1"/>
      <c r="S23" s="19"/>
      <c r="T23" s="19"/>
    </row>
    <row r="24" spans="1:20" ht="18.75">
      <c r="A24" s="14"/>
      <c r="B24" s="15"/>
      <c r="C24" s="15"/>
      <c r="D24" s="16"/>
      <c r="E24" s="18"/>
      <c r="F24" s="18"/>
      <c r="G24" s="20"/>
      <c r="H24" s="20"/>
      <c r="I24" s="21"/>
      <c r="J24" s="21"/>
      <c r="K24" s="21"/>
      <c r="L24" s="21"/>
      <c r="M24" s="20"/>
      <c r="N24" s="20"/>
      <c r="O24" s="20"/>
      <c r="P24" s="20"/>
      <c r="Q24" s="20"/>
      <c r="R24" s="20"/>
      <c r="S24" s="1"/>
      <c r="T24" s="1"/>
    </row>
    <row r="25" spans="1:20">
      <c r="A25" s="36" t="s">
        <v>57</v>
      </c>
      <c r="B25" s="37"/>
      <c r="C25" s="37"/>
      <c r="D25" s="38"/>
      <c r="E25" s="39"/>
      <c r="F25" s="39"/>
      <c r="G25" s="1"/>
      <c r="H25" s="36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4"/>
      <c r="C26" s="4"/>
      <c r="D26" s="8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36" t="s">
        <v>58</v>
      </c>
      <c r="B27" s="37"/>
      <c r="C27" s="37"/>
      <c r="D27" s="38"/>
      <c r="E27" s="39"/>
      <c r="F27" s="39"/>
      <c r="G27" s="1"/>
      <c r="H27" s="36"/>
      <c r="I27" s="3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>
      <c r="A28" s="1"/>
      <c r="B28" s="4"/>
      <c r="C28" s="4"/>
      <c r="D28" s="8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36" t="s">
        <v>15</v>
      </c>
      <c r="B29" s="37"/>
      <c r="C29" s="37"/>
      <c r="D29" s="38"/>
      <c r="E29" s="39"/>
      <c r="F29" s="39"/>
      <c r="G29" s="1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24">
    <mergeCell ref="A1:R1"/>
    <mergeCell ref="E5:L5"/>
    <mergeCell ref="A8:A9"/>
    <mergeCell ref="B8:B9"/>
    <mergeCell ref="C8:C9"/>
    <mergeCell ref="D8:D9"/>
    <mergeCell ref="E8:E9"/>
    <mergeCell ref="F8:F9"/>
    <mergeCell ref="G8:G9"/>
    <mergeCell ref="H8:H9"/>
    <mergeCell ref="A20:R20"/>
    <mergeCell ref="A23:R23"/>
    <mergeCell ref="P8:P9"/>
    <mergeCell ref="Q8:Q9"/>
    <mergeCell ref="R8:R9"/>
    <mergeCell ref="A11:R11"/>
    <mergeCell ref="A14:R14"/>
    <mergeCell ref="A17:R17"/>
    <mergeCell ref="I8:I9"/>
    <mergeCell ref="J8:J9"/>
    <mergeCell ref="K8:K9"/>
    <mergeCell ref="L8:L9"/>
    <mergeCell ref="M8:N8"/>
    <mergeCell ref="O8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район</vt:lpstr>
      <vt:lpstr>Шала</vt:lpstr>
      <vt:lpstr>Кривцы</vt:lpstr>
      <vt:lpstr>Красноборский</vt:lpstr>
      <vt:lpstr>Авдеево</vt:lpstr>
      <vt:lpstr>СВОД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2017-10-02T05:40:33Z</cp:lastPrinted>
  <dcterms:created xsi:type="dcterms:W3CDTF">2006-06-05T06:40:26Z</dcterms:created>
  <dcterms:modified xsi:type="dcterms:W3CDTF">2017-10-09T12:31:23Z</dcterms:modified>
</cp:coreProperties>
</file>