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N27" i="1"/>
  <c r="N26"/>
  <c r="N25"/>
  <c r="N24"/>
  <c r="N23"/>
  <c r="N22"/>
  <c r="N37"/>
  <c r="N34"/>
  <c r="N35"/>
  <c r="N16" i="4"/>
  <c r="N15"/>
  <c r="J16" l="1"/>
  <c r="O16"/>
  <c r="O15" i="5"/>
  <c r="O17" i="6"/>
  <c r="O16"/>
  <c r="J17"/>
  <c r="J16"/>
  <c r="J15" i="5"/>
  <c r="O16" i="3"/>
  <c r="J16"/>
  <c r="O17" i="2"/>
  <c r="O18"/>
  <c r="O16"/>
  <c r="J18"/>
  <c r="J17"/>
  <c r="J37" i="1"/>
  <c r="J35"/>
  <c r="J34"/>
  <c r="O27"/>
  <c r="O26"/>
  <c r="O25"/>
  <c r="O24"/>
  <c r="O23"/>
  <c r="O22"/>
  <c r="O20"/>
  <c r="J23"/>
  <c r="J22"/>
  <c r="N20"/>
  <c r="N17" i="6" l="1"/>
  <c r="N16"/>
  <c r="N15" i="5"/>
  <c r="N16" i="3"/>
  <c r="N18" i="2"/>
  <c r="N17"/>
  <c r="N16"/>
  <c r="N36" i="1" l="1"/>
  <c r="J36" l="1"/>
  <c r="J20"/>
  <c r="J16" i="2" l="1"/>
  <c r="K17" i="6"/>
  <c r="J15" l="1"/>
  <c r="N15" l="1"/>
  <c r="P17" i="2"/>
  <c r="O15" i="6" l="1"/>
  <c r="L17" i="2"/>
  <c r="L18"/>
  <c r="L16"/>
  <c r="L20" i="1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8" i="1"/>
  <c r="M28"/>
  <c r="L38"/>
  <c r="M38"/>
  <c r="N38"/>
  <c r="O38"/>
  <c r="F38"/>
  <c r="G38"/>
  <c r="H38"/>
  <c r="I38"/>
  <c r="J38"/>
  <c r="E38"/>
  <c r="N28" l="1"/>
  <c r="P17" i="6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I28"/>
  <c r="E28"/>
  <c r="Q27" l="1"/>
  <c r="O28" l="1"/>
  <c r="P37"/>
  <c r="K37" l="1"/>
  <c r="Q37" s="1"/>
  <c r="P26" l="1"/>
  <c r="P16" i="6"/>
  <c r="Q16" s="1"/>
  <c r="K26" i="1" l="1"/>
  <c r="Q26" s="1"/>
  <c r="K36" l="1"/>
  <c r="P36" l="1"/>
  <c r="Q36" s="1"/>
  <c r="P15" i="6"/>
  <c r="P19" s="1"/>
  <c r="J19"/>
  <c r="P34" i="1"/>
  <c r="P25"/>
  <c r="K22"/>
  <c r="P35"/>
  <c r="N19" i="6"/>
  <c r="P15" i="4"/>
  <c r="I42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1"/>
  <c r="P31"/>
  <c r="K32"/>
  <c r="P32"/>
  <c r="K35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38" i="1"/>
  <c r="Q19"/>
  <c r="H42"/>
  <c r="K28"/>
  <c r="Q21"/>
  <c r="Q16"/>
  <c r="Q31"/>
  <c r="K28" i="5"/>
  <c r="P29" i="4"/>
  <c r="H29" i="6"/>
  <c r="J29"/>
  <c r="P29" i="2"/>
  <c r="Q32" i="1"/>
  <c r="Q25"/>
  <c r="P19" i="4"/>
  <c r="P28" i="5"/>
  <c r="J28"/>
  <c r="P24" i="1"/>
  <c r="Q24" s="1"/>
  <c r="P23"/>
  <c r="Q23" s="1"/>
  <c r="O42"/>
  <c r="P22"/>
  <c r="Q22" s="1"/>
  <c r="P20"/>
  <c r="J28"/>
  <c r="J42" s="1"/>
  <c r="P29" i="3"/>
  <c r="Q29"/>
  <c r="K34" i="1"/>
  <c r="K38" s="1"/>
  <c r="Q35"/>
  <c r="Q19" i="4" l="1"/>
  <c r="Q29" s="1"/>
  <c r="Q19" i="2"/>
  <c r="Q29" s="1"/>
  <c r="P28" i="1"/>
  <c r="Q20"/>
  <c r="Q29" i="6"/>
  <c r="Q34" i="1"/>
  <c r="Q38" s="1"/>
  <c r="K42"/>
  <c r="Q28" i="5"/>
  <c r="N42" i="1"/>
  <c r="P42" l="1"/>
  <c r="Q28"/>
  <c r="Q42" s="1"/>
</calcChain>
</file>

<file path=xl/sharedStrings.xml><?xml version="1.0" encoding="utf-8"?>
<sst xmlns="http://schemas.openxmlformats.org/spreadsheetml/2006/main" count="276" uniqueCount="86">
  <si>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</si>
  <si>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</si>
  <si>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</si>
  <si>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</si>
  <si>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</si>
  <si>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</si>
  <si>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</si>
  <si>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</si>
  <si>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</si>
  <si>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</si>
  <si>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</si>
  <si>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</si>
  <si>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</si>
  <si>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</si>
  <si>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</si>
  <si>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</si>
  <si>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</si>
  <si>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</si>
  <si>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</si>
  <si>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</si>
  <si>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</si>
  <si>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</si>
  <si>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</si>
  <si>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</si>
  <si>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</si>
  <si>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</si>
  <si>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</si>
  <si>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</si>
  <si>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</si>
  <si>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</si>
  <si>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</si>
  <si>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</si>
  <si>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</si>
  <si>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</si>
  <si>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</si>
  <si>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</si>
  <si>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</si>
  <si>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</si>
  <si>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</si>
  <si>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</si>
  <si>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</si>
  <si>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</si>
  <si>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</si>
  <si>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</si>
  <si>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</si>
  <si>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</si>
  <si>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</si>
  <si>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</si>
  <si>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</si>
  <si>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</si>
  <si>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</si>
  <si>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</si>
  <si>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</si>
  <si>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№2 от 19.04.2013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</si>
  <si>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</si>
  <si>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</si>
  <si>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</si>
  <si>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</si>
  <si>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</si>
  <si>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</si>
  <si>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</si>
  <si>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</si>
  <si>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</si>
  <si>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</si>
  <si>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</si>
  <si>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</si>
  <si>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</si>
  <si>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</si>
  <si>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</si>
  <si>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</si>
  <si>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</si>
  <si>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</si>
  <si>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</si>
  <si>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</si>
  <si>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</si>
  <si>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</si>
  <si>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</si>
  <si>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</si>
  <si>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</si>
  <si>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</si>
  <si>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</si>
  <si>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</si>
  <si>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</si>
  <si>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по состоянию на 01 сентября  2014 года</t>
  </si>
  <si>
    <t>по состоянию на 01  сентября  2014 года</t>
  </si>
  <si>
    <t>по состоянию на 01 сентября 2014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</si>
</sst>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8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topLeftCell="F3" zoomScaleNormal="75" workbookViewId="0">
      <selection activeCell="N28" sqref="N28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3" t="s">
        <v>23</v>
      </c>
      <c r="M1" s="201"/>
      <c r="N1" s="201"/>
      <c r="O1" s="201"/>
      <c r="P1" s="201"/>
      <c r="Q1" s="201"/>
    </row>
    <row r="2" spans="1:17" ht="26.25" hidden="1" customHeight="1">
      <c r="L2" s="201"/>
      <c r="M2" s="201"/>
      <c r="N2" s="201"/>
      <c r="O2" s="201"/>
      <c r="P2" s="201"/>
      <c r="Q2" s="201"/>
    </row>
    <row r="3" spans="1:17" ht="21" customHeight="1">
      <c r="A3" s="218" t="s">
        <v>25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  <c r="P3" s="220"/>
      <c r="Q3" s="220"/>
    </row>
    <row r="4" spans="1:17" ht="16.5" customHeight="1">
      <c r="B4" s="2"/>
      <c r="C4" s="2"/>
      <c r="D4" s="212" t="s">
        <v>83</v>
      </c>
      <c r="E4" s="213"/>
      <c r="F4" s="213"/>
      <c r="G4" s="213"/>
      <c r="H4" s="213"/>
      <c r="I4" s="213"/>
      <c r="J4" s="213"/>
      <c r="K4" s="213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10" t="s">
        <v>22</v>
      </c>
      <c r="O5" s="210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4"/>
      <c r="G7" s="214"/>
      <c r="H7" s="214"/>
      <c r="I7" s="214"/>
      <c r="J7" s="214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4" t="s">
        <v>19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5" t="s">
        <v>20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7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50">
        <f>147000+147000+147000+147000+147000+147000+121.28+148878.72</f>
        <v>1031000</v>
      </c>
      <c r="K20" s="50">
        <f t="shared" ref="K20:K27" si="1">H20+I20-J20</f>
        <v>0</v>
      </c>
      <c r="L20" s="190">
        <f>8.25*1/3</f>
        <v>2.75</v>
      </c>
      <c r="M20" s="50">
        <v>3750.18</v>
      </c>
      <c r="N20" s="50">
        <f>2241.89+1654.44+1488.76+1078.82+1001.45+121.28+367.68+2.08+2.08+89.74</f>
        <v>8048.2199999999993</v>
      </c>
      <c r="O20" s="50">
        <f>3750.18+2241.89+1654.44+1488.76+1078.82+1001.45+121.28+367.68+2.08+2.08+89.74</f>
        <v>11798.400000000001</v>
      </c>
      <c r="P20" s="50">
        <f t="shared" ref="P20:P27" si="2">N20-O20+M20</f>
        <v>0</v>
      </c>
      <c r="Q20" s="50">
        <f t="shared" si="0"/>
        <v>0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50">
        <f>212000+212000+212000+212000+212000+212000+233.2+211766.8+212000</f>
        <v>1696000</v>
      </c>
      <c r="K22" s="50">
        <f t="shared" si="1"/>
        <v>1912000</v>
      </c>
      <c r="L22" s="190">
        <v>2.75</v>
      </c>
      <c r="M22" s="50">
        <v>12835.97</v>
      </c>
      <c r="N22" s="50">
        <f>8187.32+6860.69+7101.17+6350.16+6398.39+233.2+5315.23+12.22+12.22+5088.49+4561.53</f>
        <v>50120.62</v>
      </c>
      <c r="O22" s="50">
        <f>12835.97+8187.32+6860.69+7101.17+6350.16+12.22+233.2+6398.39+5303.01+12.22+12.22+5088.49</f>
        <v>58395.06</v>
      </c>
      <c r="P22" s="50">
        <f t="shared" si="2"/>
        <v>4561.5300000000043</v>
      </c>
      <c r="Q22" s="50">
        <f t="shared" si="0"/>
        <v>1916561.53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50">
        <f>270000+270000+270000+270000+270000+222.75+269777.25+270000</f>
        <v>1890000</v>
      </c>
      <c r="K23" s="50">
        <f t="shared" si="1"/>
        <v>1111000</v>
      </c>
      <c r="L23" s="190">
        <v>2.75</v>
      </c>
      <c r="M23" s="50">
        <v>10516.67</v>
      </c>
      <c r="N23" s="50">
        <f>7009.18+5944.37+5951.37+5094.65+5056.31+222.75+3782.48+9.81+9.81+3388.09+2716.93</f>
        <v>39185.749999999993</v>
      </c>
      <c r="O23" s="50">
        <f>10516.67+7009.18+5944.37+5951.37+5094.65+222.75+5056.31+3782.48+9.81+9.81+3388.09</f>
        <v>46985.489999999991</v>
      </c>
      <c r="P23" s="50">
        <f t="shared" si="2"/>
        <v>2716.9300000000021</v>
      </c>
      <c r="Q23" s="50">
        <f t="shared" si="0"/>
        <v>1113716.93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>
        <v>200000</v>
      </c>
      <c r="K24" s="36">
        <f t="shared" si="1"/>
        <v>2050000</v>
      </c>
      <c r="L24" s="190">
        <v>2.75</v>
      </c>
      <c r="M24" s="50">
        <v>7891.38</v>
      </c>
      <c r="N24" s="50">
        <f>5255.14+4746.58+5255.14+5085.62+5255.14+5075.83+9.79+9.79+5255.14+5255.14</f>
        <v>41203.31</v>
      </c>
      <c r="O24" s="50">
        <f>7891.38+5255.14+4746.58+5255.14+5085.62+5255.14+5075.83+9.79+9.79+5255.14</f>
        <v>43839.55</v>
      </c>
      <c r="P24" s="50">
        <f t="shared" si="2"/>
        <v>5255.1399999999949</v>
      </c>
      <c r="Q24" s="50">
        <f t="shared" si="0"/>
        <v>2055255.14</v>
      </c>
    </row>
    <row r="25" spans="1:17" s="3" customFormat="1" ht="26.25" customHeight="1">
      <c r="A25" s="61"/>
      <c r="B25" s="62" t="s">
        <v>24</v>
      </c>
      <c r="C25" s="30" t="s">
        <v>54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v>0</v>
      </c>
      <c r="K25" s="36">
        <f t="shared" si="1"/>
        <v>2000000</v>
      </c>
      <c r="L25" s="190">
        <v>2.75</v>
      </c>
      <c r="M25" s="50">
        <v>7014.56</v>
      </c>
      <c r="N25" s="50">
        <f>4671.23+4219.18+4671.23+4520.55+4671.23+4511.83+8.7+8.7+4671.25+4294.52</f>
        <v>36248.42</v>
      </c>
      <c r="O25" s="50">
        <f>7014.56+4671.23+4219.18+4671.23+4520.55+4671.23+4511.83+8.7+8.7+4671.25</f>
        <v>38968.459999999992</v>
      </c>
      <c r="P25" s="50">
        <f t="shared" si="2"/>
        <v>4294.5200000000068</v>
      </c>
      <c r="Q25" s="50">
        <f t="shared" si="0"/>
        <v>2004294.52</v>
      </c>
    </row>
    <row r="26" spans="1:17" s="3" customFormat="1" ht="30.75" customHeight="1">
      <c r="A26" s="61"/>
      <c r="B26" s="62" t="s">
        <v>24</v>
      </c>
      <c r="C26" s="30" t="s">
        <v>57</v>
      </c>
      <c r="D26" s="31" t="s">
        <v>26</v>
      </c>
      <c r="E26" s="47">
        <v>780000</v>
      </c>
      <c r="F26" s="48">
        <v>41876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1821.78+1645.48+1821.78+1763.01+1821.78+1759.62+3.39+3.39+1821.78+1821.78</f>
        <v>14283.79</v>
      </c>
      <c r="O26" s="50">
        <f>2732.67+1821.78+1645.48+1821.78+1763.01+1821.78+1759.62+3.39+3.39+1821.78</f>
        <v>15194.679999999998</v>
      </c>
      <c r="P26" s="50">
        <f t="shared" si="2"/>
        <v>1821.7800000000025</v>
      </c>
      <c r="Q26" s="50">
        <f t="shared" si="0"/>
        <v>781821.78</v>
      </c>
    </row>
    <row r="27" spans="1:17" s="3" customFormat="1" ht="30.75" customHeight="1">
      <c r="A27" s="61"/>
      <c r="B27" s="62" t="s">
        <v>24</v>
      </c>
      <c r="C27" s="30" t="s">
        <v>60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11678.08+10547.95+11678.08+11301.37+11678.08+11279.61+21.76+21.76+11678.08+11678.08</f>
        <v>91562.85</v>
      </c>
      <c r="O27" s="50">
        <f>3955.48+11678.08+10547.95+11678.08+11301.37+11678.08+11279.61+21.76+21.76+11678.08</f>
        <v>83840.25</v>
      </c>
      <c r="P27" s="50">
        <f t="shared" si="2"/>
        <v>11678.080000000005</v>
      </c>
      <c r="Q27" s="50">
        <f t="shared" si="0"/>
        <v>5011678.08</v>
      </c>
    </row>
    <row r="28" spans="1:17" s="3" customFormat="1" ht="18.75" customHeight="1">
      <c r="A28" s="44" t="s">
        <v>15</v>
      </c>
      <c r="B28" s="45"/>
      <c r="C28" s="30"/>
      <c r="D28" s="31"/>
      <c r="E28" s="47">
        <f>E16+E18+E19+E20+E21+E22+E23+E24+E25+E26+E27</f>
        <v>26780000</v>
      </c>
      <c r="F28" s="47"/>
      <c r="G28" s="47"/>
      <c r="H28" s="47">
        <f>H20+H22+H23+H24+H25+H26+H27</f>
        <v>17670000</v>
      </c>
      <c r="I28" s="47">
        <f>I16+I18+I19+I20+I21+I17+I22+I23+I24+I25+I26+I27</f>
        <v>0</v>
      </c>
      <c r="J28" s="47">
        <f>J16+J18+J19+J20+J21+J17+J22+J23+J24</f>
        <v>4817000</v>
      </c>
      <c r="K28" s="47">
        <f>K20+K22+K23+K24+K25+K26+K27</f>
        <v>12853000</v>
      </c>
      <c r="L28" s="47"/>
      <c r="M28" s="47">
        <f>M20+M21+M17+M22+M23+M24+M25+M26+M27</f>
        <v>48696.909999999996</v>
      </c>
      <c r="N28" s="47">
        <f>N20+N22+N23+N24+N25+N26+N27</f>
        <v>280652.96000000002</v>
      </c>
      <c r="O28" s="47">
        <f>O20+O22+O23+O24+O25+O26+O27</f>
        <v>299021.89</v>
      </c>
      <c r="P28" s="47">
        <f>P16+P18+P19+P20+P21+P17+P22+P23+P24+P25+P26+P27</f>
        <v>30327.980000000018</v>
      </c>
      <c r="Q28" s="193">
        <f>K28+P28</f>
        <v>12883327.98</v>
      </c>
    </row>
    <row r="29" spans="1:17" s="3" customFormat="1" ht="25.5" customHeight="1">
      <c r="A29" s="204" t="s">
        <v>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Q29" s="40"/>
    </row>
    <row r="30" spans="1:17" s="3" customFormat="1" ht="48.75" hidden="1" customHeight="1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Q30" s="40"/>
    </row>
    <row r="31" spans="1:17" s="3" customFormat="1" ht="0.75" customHeight="1">
      <c r="A31" s="67"/>
      <c r="B31" s="29" t="s">
        <v>36</v>
      </c>
      <c r="C31" s="30" t="s">
        <v>30</v>
      </c>
      <c r="D31" s="31" t="s">
        <v>31</v>
      </c>
      <c r="E31" s="32">
        <v>3200000</v>
      </c>
      <c r="F31" s="48">
        <v>40619</v>
      </c>
      <c r="G31" s="34"/>
      <c r="H31" s="35"/>
      <c r="I31" s="36"/>
      <c r="J31" s="69"/>
      <c r="K31" s="50">
        <f>H31-J31</f>
        <v>0</v>
      </c>
      <c r="L31" s="36">
        <v>16</v>
      </c>
      <c r="M31" s="36"/>
      <c r="N31" s="50"/>
      <c r="O31" s="50"/>
      <c r="P31" s="47">
        <f t="shared" ref="P31:P37" si="3">N31-O31</f>
        <v>0</v>
      </c>
      <c r="Q31" s="50">
        <f t="shared" ref="Q31:Q37" si="4">K31+P31</f>
        <v>0</v>
      </c>
    </row>
    <row r="32" spans="1:17" s="3" customFormat="1" ht="30.75" hidden="1" customHeight="1">
      <c r="A32" s="70"/>
      <c r="B32" s="29" t="s">
        <v>36</v>
      </c>
      <c r="C32" s="30" t="s">
        <v>33</v>
      </c>
      <c r="D32" s="31" t="s">
        <v>31</v>
      </c>
      <c r="E32" s="32">
        <v>1500000</v>
      </c>
      <c r="F32" s="48" t="s">
        <v>34</v>
      </c>
      <c r="G32" s="34"/>
      <c r="H32" s="35"/>
      <c r="I32" s="36"/>
      <c r="J32" s="69"/>
      <c r="K32" s="36">
        <f>H32-J32</f>
        <v>0</v>
      </c>
      <c r="L32" s="36">
        <v>12</v>
      </c>
      <c r="M32" s="36"/>
      <c r="N32" s="50"/>
      <c r="O32" s="50"/>
      <c r="P32" s="47">
        <f t="shared" si="3"/>
        <v>0</v>
      </c>
      <c r="Q32" s="50">
        <f t="shared" si="4"/>
        <v>0</v>
      </c>
    </row>
    <row r="33" spans="1:17" s="3" customFormat="1" ht="31.5" hidden="1" customHeight="1">
      <c r="A33" s="28"/>
      <c r="B33" s="29"/>
      <c r="C33" s="30"/>
      <c r="D33" s="31"/>
      <c r="E33" s="32"/>
      <c r="F33" s="48"/>
      <c r="G33" s="34"/>
      <c r="H33" s="35"/>
      <c r="I33" s="36"/>
      <c r="J33" s="69"/>
      <c r="K33" s="36"/>
      <c r="L33" s="50"/>
      <c r="M33" s="36"/>
      <c r="N33" s="50"/>
      <c r="O33" s="50"/>
      <c r="P33" s="47"/>
      <c r="Q33" s="50"/>
    </row>
    <row r="34" spans="1:17" s="3" customFormat="1" ht="59.25" customHeight="1">
      <c r="A34" s="72"/>
      <c r="B34" s="29" t="s">
        <v>40</v>
      </c>
      <c r="C34" s="30" t="s">
        <v>42</v>
      </c>
      <c r="D34" s="31" t="s">
        <v>31</v>
      </c>
      <c r="E34" s="32">
        <v>5000000</v>
      </c>
      <c r="F34" s="48">
        <v>41858</v>
      </c>
      <c r="G34" s="34"/>
      <c r="H34" s="35">
        <v>1666672</v>
      </c>
      <c r="I34" s="36"/>
      <c r="J34" s="69">
        <f>208333+208333+208333+208333+208333+208333+208333+208341</f>
        <v>1666672</v>
      </c>
      <c r="K34" s="50">
        <f t="shared" ref="K34:K37" si="5">I34-J34+H34</f>
        <v>0</v>
      </c>
      <c r="L34" s="50">
        <v>10</v>
      </c>
      <c r="M34" s="36"/>
      <c r="N34" s="50">
        <f>14155.3+11358.49+9588.71+1027.4+8846.6+6848.9-371.01+12157.18-7248.44-228.31+3424.72+4073.55+628.04</f>
        <v>64261.130000000005</v>
      </c>
      <c r="O34" s="50">
        <v>64261.13</v>
      </c>
      <c r="P34" s="47">
        <f t="shared" si="3"/>
        <v>0</v>
      </c>
      <c r="Q34" s="50">
        <f t="shared" si="4"/>
        <v>0</v>
      </c>
    </row>
    <row r="35" spans="1:17" s="3" customFormat="1" ht="59.25" customHeight="1">
      <c r="A35" s="72"/>
      <c r="B35" s="29" t="s">
        <v>40</v>
      </c>
      <c r="C35" s="30" t="s">
        <v>44</v>
      </c>
      <c r="D35" s="31" t="s">
        <v>31</v>
      </c>
      <c r="E35" s="32">
        <v>5000000</v>
      </c>
      <c r="F35" s="48">
        <v>41992</v>
      </c>
      <c r="G35" s="34"/>
      <c r="H35" s="35">
        <v>2500004</v>
      </c>
      <c r="I35" s="36"/>
      <c r="J35" s="69">
        <f>208333+208333+208333+208333+208333+208333+208333+208333</f>
        <v>1666664</v>
      </c>
      <c r="K35" s="50">
        <f t="shared" si="5"/>
        <v>833340</v>
      </c>
      <c r="L35" s="50">
        <v>13</v>
      </c>
      <c r="M35" s="36"/>
      <c r="N35" s="50">
        <f>27602.78+23373.33+20775.66+1929.23+20701.29+17807.48-285.39+33909.14-18326.89+13356.23-296.8-4073.55+11130.21</f>
        <v>147602.72000000003</v>
      </c>
      <c r="O35" s="50">
        <v>147602.72</v>
      </c>
      <c r="P35" s="47">
        <f t="shared" si="3"/>
        <v>0</v>
      </c>
      <c r="Q35" s="50">
        <f t="shared" si="4"/>
        <v>833340</v>
      </c>
    </row>
    <row r="36" spans="1:17" s="3" customFormat="1" ht="59.25" customHeight="1">
      <c r="A36" s="72"/>
      <c r="B36" s="29" t="s">
        <v>40</v>
      </c>
      <c r="C36" s="30" t="s">
        <v>55</v>
      </c>
      <c r="D36" s="31" t="s">
        <v>56</v>
      </c>
      <c r="E36" s="32">
        <v>8000000</v>
      </c>
      <c r="F36" s="48">
        <v>41848</v>
      </c>
      <c r="G36" s="34"/>
      <c r="H36" s="35">
        <v>4665000</v>
      </c>
      <c r="I36" s="36"/>
      <c r="J36" s="69">
        <f>667000+667000+667000+667000+667000+667000+663000</f>
        <v>4665000</v>
      </c>
      <c r="K36" s="50">
        <f t="shared" si="5"/>
        <v>0</v>
      </c>
      <c r="L36" s="50">
        <v>10.5</v>
      </c>
      <c r="M36" s="36"/>
      <c r="N36" s="50">
        <f>40258.44+40258.11+20882.67+22031.31+16081.98+9367.43+4386.7</f>
        <v>153266.64000000001</v>
      </c>
      <c r="O36" s="50">
        <v>153266.64000000001</v>
      </c>
      <c r="P36" s="47">
        <f t="shared" si="3"/>
        <v>0</v>
      </c>
      <c r="Q36" s="50">
        <f t="shared" si="4"/>
        <v>0</v>
      </c>
    </row>
    <row r="37" spans="1:17" s="3" customFormat="1" ht="59.25" customHeight="1">
      <c r="A37" s="72"/>
      <c r="B37" s="29" t="s">
        <v>40</v>
      </c>
      <c r="C37" s="30" t="s">
        <v>59</v>
      </c>
      <c r="D37" s="31" t="s">
        <v>56</v>
      </c>
      <c r="E37" s="32">
        <v>8000000</v>
      </c>
      <c r="F37" s="48">
        <v>42243</v>
      </c>
      <c r="G37" s="34"/>
      <c r="H37" s="35">
        <v>8000000</v>
      </c>
      <c r="I37" s="36"/>
      <c r="J37" s="69">
        <f>533000+533000+533000+533000+533000+533000</f>
        <v>3198000</v>
      </c>
      <c r="K37" s="50">
        <f t="shared" si="5"/>
        <v>4802000</v>
      </c>
      <c r="L37" s="50">
        <v>10.5</v>
      </c>
      <c r="M37" s="36"/>
      <c r="N37" s="50">
        <f>71342.47+64438.36+70422.5+63214.6+60149.46+766.65+0.63+53708.22+51409.73-306.66+46196.55+459.99</f>
        <v>481802.5</v>
      </c>
      <c r="O37" s="50">
        <v>481802.5</v>
      </c>
      <c r="P37" s="47">
        <f t="shared" si="3"/>
        <v>0</v>
      </c>
      <c r="Q37" s="50">
        <f t="shared" si="4"/>
        <v>4802000</v>
      </c>
    </row>
    <row r="38" spans="1:17" s="3" customFormat="1" ht="15" customHeight="1">
      <c r="A38" s="68" t="s">
        <v>15</v>
      </c>
      <c r="B38" s="45"/>
      <c r="C38" s="30"/>
      <c r="D38" s="31"/>
      <c r="E38" s="32">
        <f>E34+E35+E36+E37</f>
        <v>26000000</v>
      </c>
      <c r="F38" s="32">
        <f t="shared" ref="F38:K38" si="6">F34+F35+F36+F37</f>
        <v>167941</v>
      </c>
      <c r="G38" s="32">
        <f t="shared" si="6"/>
        <v>0</v>
      </c>
      <c r="H38" s="32">
        <f t="shared" si="6"/>
        <v>16831676</v>
      </c>
      <c r="I38" s="32">
        <f t="shared" si="6"/>
        <v>0</v>
      </c>
      <c r="J38" s="47">
        <f t="shared" si="6"/>
        <v>11196336</v>
      </c>
      <c r="K38" s="32">
        <f t="shared" si="6"/>
        <v>5635340</v>
      </c>
      <c r="L38" s="32">
        <f t="shared" ref="L38" si="7">L34+L35+L36+L37</f>
        <v>44</v>
      </c>
      <c r="M38" s="32">
        <f t="shared" ref="M38" si="8">M34+M35+M36+M37</f>
        <v>0</v>
      </c>
      <c r="N38" s="32">
        <f t="shared" ref="N38" si="9">N34+N35+N36+N37</f>
        <v>846932.99</v>
      </c>
      <c r="O38" s="32">
        <f t="shared" ref="O38" si="10">O34+O35+O36+O37</f>
        <v>846932.99</v>
      </c>
      <c r="P38" s="32">
        <f t="shared" ref="P38" si="11">P34+P35+P36+P37</f>
        <v>0</v>
      </c>
      <c r="Q38" s="195">
        <f t="shared" ref="Q38" si="12">Q34+Q35+Q36+Q37</f>
        <v>5635340</v>
      </c>
    </row>
    <row r="39" spans="1:17" s="3" customFormat="1" ht="10.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Q39" s="40"/>
    </row>
    <row r="40" spans="1:17" s="3" customFormat="1" ht="10.5" customHeight="1">
      <c r="A40" s="28"/>
      <c r="B40" s="29"/>
      <c r="C40" s="30"/>
      <c r="D40" s="31"/>
      <c r="E40" s="32"/>
      <c r="F40" s="33"/>
      <c r="G40" s="34"/>
      <c r="H40" s="35"/>
      <c r="I40" s="36"/>
      <c r="J40" s="37"/>
      <c r="K40" s="36"/>
      <c r="L40" s="36"/>
      <c r="M40" s="36"/>
      <c r="N40" s="36"/>
      <c r="O40" s="36"/>
      <c r="P40" s="36"/>
      <c r="Q40" s="36"/>
    </row>
    <row r="41" spans="1:17" s="3" customFormat="1" ht="12.75" customHeight="1">
      <c r="A41" s="44" t="s">
        <v>15</v>
      </c>
      <c r="B41" s="45"/>
      <c r="C41" s="30"/>
      <c r="D41" s="31"/>
      <c r="E41" s="32"/>
      <c r="F41" s="33"/>
      <c r="G41" s="34"/>
      <c r="H41" s="35"/>
      <c r="I41" s="36"/>
      <c r="J41" s="37"/>
      <c r="K41" s="36"/>
      <c r="L41" s="36"/>
      <c r="M41" s="36"/>
      <c r="N41" s="36"/>
      <c r="O41" s="36"/>
      <c r="P41" s="36"/>
      <c r="Q41" s="36"/>
    </row>
    <row r="42" spans="1:17" s="24" customFormat="1" ht="23.25" customHeight="1">
      <c r="A42" s="206" t="s">
        <v>17</v>
      </c>
      <c r="B42" s="207"/>
      <c r="C42" s="208"/>
      <c r="D42" s="208"/>
      <c r="E42" s="208"/>
      <c r="F42" s="209"/>
      <c r="G42" s="23"/>
      <c r="H42" s="57">
        <f>H28+H38</f>
        <v>34501676</v>
      </c>
      <c r="I42" s="57">
        <f>I28+I38</f>
        <v>0</v>
      </c>
      <c r="J42" s="56">
        <f>J28+J38</f>
        <v>16013336</v>
      </c>
      <c r="K42" s="56">
        <f>K28+K38</f>
        <v>18488340</v>
      </c>
      <c r="L42" s="58"/>
      <c r="M42" s="57"/>
      <c r="N42" s="56">
        <f>N28+N38</f>
        <v>1127585.95</v>
      </c>
      <c r="O42" s="56">
        <f>O28+O38</f>
        <v>1145954.8799999999</v>
      </c>
      <c r="P42" s="56">
        <f>P28+P38</f>
        <v>30327.980000000018</v>
      </c>
      <c r="Q42" s="194">
        <f>Q28+Q38</f>
        <v>18518667.98</v>
      </c>
    </row>
    <row r="43" spans="1:17" ht="10.5" customHeight="1">
      <c r="A43" s="18"/>
      <c r="B43" s="25"/>
      <c r="C43" s="19"/>
      <c r="D43" s="19"/>
      <c r="E43" s="20"/>
      <c r="F43" s="22"/>
      <c r="G43" s="22"/>
      <c r="H43" s="26"/>
      <c r="I43" s="27"/>
      <c r="J43" s="27"/>
      <c r="K43" s="26"/>
      <c r="L43" s="26"/>
      <c r="M43" s="26"/>
      <c r="N43" s="26"/>
      <c r="O43" s="26"/>
      <c r="P43" s="26"/>
      <c r="Q43" s="26"/>
    </row>
    <row r="44" spans="1:17">
      <c r="N44" s="71"/>
    </row>
    <row r="45" spans="1:17" ht="17.25" customHeight="1">
      <c r="B45" s="196" t="s">
        <v>61</v>
      </c>
      <c r="C45" s="197"/>
      <c r="D45" s="197"/>
      <c r="E45" s="198"/>
      <c r="F45" s="199"/>
      <c r="G45" s="199"/>
      <c r="H45" s="200"/>
      <c r="I45" s="201"/>
      <c r="J45" s="201"/>
      <c r="K45" s="201"/>
    </row>
    <row r="48" spans="1:17" ht="15.75">
      <c r="B48" s="196" t="s">
        <v>77</v>
      </c>
      <c r="C48" s="202"/>
      <c r="D48" s="202"/>
      <c r="E48" s="202"/>
      <c r="F48" s="202"/>
      <c r="G48" s="202"/>
      <c r="H48" s="202"/>
      <c r="I48" s="202"/>
      <c r="J48" s="202"/>
      <c r="K48" s="202"/>
    </row>
    <row r="50" spans="3:3">
      <c r="C50" s="5" t="s">
        <v>27</v>
      </c>
    </row>
    <row r="62" spans="3:3" ht="16.5" customHeight="1"/>
    <row r="63" spans="3:3" ht="30" customHeight="1">
      <c r="C63" s="21"/>
    </row>
  </sheetData>
  <mergeCells count="12">
    <mergeCell ref="B45:K45"/>
    <mergeCell ref="B48:K48"/>
    <mergeCell ref="L1:Q2"/>
    <mergeCell ref="A39:M39"/>
    <mergeCell ref="A42:F42"/>
    <mergeCell ref="N5:O5"/>
    <mergeCell ref="A29:M29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C4" workbookViewId="0">
      <selection activeCell="C17" sqref="C17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8" t="s">
        <v>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84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f>50000+25000+25000+75000</f>
        <v>175000</v>
      </c>
      <c r="K16" s="36">
        <f>H16-J16+I16</f>
        <v>0</v>
      </c>
      <c r="L16" s="69">
        <f>8.25*1/3</f>
        <v>2.75</v>
      </c>
      <c r="M16" s="50">
        <v>2721.6</v>
      </c>
      <c r="N16" s="50">
        <f>282.53+26.67+103.13+224.14+19.89+62.16+21.26+22.68</f>
        <v>762.45999999999992</v>
      </c>
      <c r="O16" s="50">
        <f>450.98+305.89+43.68+22.68</f>
        <v>823.2299999999999</v>
      </c>
      <c r="P16" s="50">
        <f>N16-O16+M16</f>
        <v>2660.83</v>
      </c>
      <c r="Q16" s="50">
        <f>K16+P16</f>
        <v>2660.83</v>
      </c>
    </row>
    <row r="17" spans="1:17" ht="105">
      <c r="A17" s="28">
        <v>3</v>
      </c>
      <c r="B17" s="29" t="s">
        <v>24</v>
      </c>
      <c r="C17" s="30" t="s">
        <v>53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f>12000+11000+11000+11000+11000</f>
        <v>56000</v>
      </c>
      <c r="K17" s="36">
        <f>H17-J17+I17</f>
        <v>319000</v>
      </c>
      <c r="L17" s="69">
        <f t="shared" ref="L17:L18" si="0">8.25*1/3</f>
        <v>2.75</v>
      </c>
      <c r="M17" s="50">
        <v>9877.58</v>
      </c>
      <c r="N17" s="50">
        <f>1053.09+791.1+84.7+8.98+857.77+76.73+8.98+820.48+74.25+89.27+817.99+100.64+817.99+90.75+104.97+777.38+117.11</f>
        <v>6692.18</v>
      </c>
      <c r="O17" s="50">
        <f>1053.09+791.1+93.68+894.49</f>
        <v>2832.36</v>
      </c>
      <c r="P17" s="50">
        <f>N17-O17+M17</f>
        <v>13737.4</v>
      </c>
      <c r="Q17" s="50">
        <f>K17+P17</f>
        <v>332737.40000000002</v>
      </c>
    </row>
    <row r="18" spans="1:17" ht="105">
      <c r="A18" s="61" t="s">
        <v>62</v>
      </c>
      <c r="B18" s="29" t="s">
        <v>24</v>
      </c>
      <c r="C18" s="30" t="s">
        <v>73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f>10000+22000+22000+22000+22000</f>
        <v>98000</v>
      </c>
      <c r="K18" s="36">
        <f>H18-J18+I18</f>
        <v>702000</v>
      </c>
      <c r="L18" s="69">
        <f t="shared" si="0"/>
        <v>2.75</v>
      </c>
      <c r="M18" s="50">
        <v>632.88</v>
      </c>
      <c r="N18" s="50">
        <f>1866.23+1687.67+1845.14+5.4+1785.62+21.17+1785.47+2578.34+1686.16+66.17+181.5+1704.25+0.66</f>
        <v>15213.779999999999</v>
      </c>
      <c r="O18" s="50">
        <f>1866.23+1687.67+632.88+9877.58+1726.93</f>
        <v>15791.29</v>
      </c>
      <c r="P18" s="50">
        <f>N18-O18+M18</f>
        <v>55.369999999997958</v>
      </c>
      <c r="Q18" s="50">
        <f>K18+P18</f>
        <v>702055.37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329000</v>
      </c>
      <c r="K19" s="47">
        <f t="shared" si="1"/>
        <v>1021000</v>
      </c>
      <c r="L19" s="47"/>
      <c r="M19" s="47">
        <f>M16+M17+M18</f>
        <v>13232.06</v>
      </c>
      <c r="N19" s="47">
        <f t="shared" ref="N19:O19" si="2">N16+N17+N18</f>
        <v>22668.42</v>
      </c>
      <c r="O19" s="47">
        <f t="shared" si="2"/>
        <v>19446.88</v>
      </c>
      <c r="P19" s="47">
        <f>16+P17+P18</f>
        <v>13808.769999999997</v>
      </c>
      <c r="Q19" s="50">
        <f>Q16+Q17+Q18</f>
        <v>1037453.6000000001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1350000</v>
      </c>
      <c r="I29" s="57">
        <f>I19+I25</f>
        <v>0</v>
      </c>
      <c r="J29" s="56">
        <f>J19+J25</f>
        <v>329000</v>
      </c>
      <c r="K29" s="56">
        <f>K19+K25</f>
        <v>1021000</v>
      </c>
      <c r="L29" s="58"/>
      <c r="M29" s="57">
        <v>371.58</v>
      </c>
      <c r="N29" s="56">
        <f>N19+N25</f>
        <v>22668.42</v>
      </c>
      <c r="O29" s="56">
        <f>O19+O25</f>
        <v>19446.88</v>
      </c>
      <c r="P29" s="56">
        <f>P19+P25</f>
        <v>13808.769999999997</v>
      </c>
      <c r="Q29" s="56">
        <f>Q19+Q25</f>
        <v>1037453.6000000001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64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78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J16" sqref="J16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6" width="9.28515625" bestFit="1" customWidth="1"/>
    <col min="17" max="17" width="11.7109375" customWidth="1"/>
  </cols>
  <sheetData>
    <row r="1" spans="1:17" ht="18">
      <c r="A1" s="218" t="s">
        <v>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  <c r="P1" s="220"/>
      <c r="Q1" s="220"/>
    </row>
    <row r="2" spans="1:17" ht="15">
      <c r="A2" s="1"/>
      <c r="B2" s="2"/>
      <c r="C2" s="2"/>
      <c r="D2" s="212" t="s">
        <v>85</v>
      </c>
      <c r="E2" s="213"/>
      <c r="F2" s="213"/>
      <c r="G2" s="213"/>
      <c r="H2" s="213"/>
      <c r="I2" s="213"/>
      <c r="J2" s="213"/>
      <c r="K2" s="213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0" t="s">
        <v>22</v>
      </c>
      <c r="O3" s="210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4"/>
      <c r="G5" s="214"/>
      <c r="H5" s="214"/>
      <c r="I5" s="214"/>
      <c r="J5" s="214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4" t="s">
        <v>19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5" t="s">
        <v>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74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28000+14000+14000+14000+14000+14000+14000</f>
        <v>112000</v>
      </c>
      <c r="K16" s="36">
        <f>H16-J16+I16</f>
        <v>388000</v>
      </c>
      <c r="L16" s="69">
        <v>2.75</v>
      </c>
      <c r="M16" s="50">
        <v>395.55</v>
      </c>
      <c r="N16" s="50">
        <f>1200.21+1017.86+1089.75+1019.38+1020.14+956.1+949.47</f>
        <v>7252.9100000000008</v>
      </c>
      <c r="O16" s="50">
        <f>2613.62+1089.75+1019.38+1020.14+956.1+949.47</f>
        <v>7648.4600000000009</v>
      </c>
      <c r="P16" s="50">
        <f>M16+N16-O16</f>
        <v>0</v>
      </c>
      <c r="Q16" s="50">
        <f>K16+P16</f>
        <v>388000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112000</v>
      </c>
      <c r="K19" s="47">
        <f t="shared" si="0"/>
        <v>388000</v>
      </c>
      <c r="L19" s="47">
        <f t="shared" si="0"/>
        <v>2.75</v>
      </c>
      <c r="M19" s="47">
        <f t="shared" si="0"/>
        <v>395.55</v>
      </c>
      <c r="N19" s="47">
        <f t="shared" si="0"/>
        <v>7252.9100000000008</v>
      </c>
      <c r="O19" s="47">
        <f t="shared" si="0"/>
        <v>7648.4600000000009</v>
      </c>
      <c r="P19" s="47">
        <f t="shared" si="0"/>
        <v>0</v>
      </c>
      <c r="Q19" s="47">
        <f t="shared" si="0"/>
        <v>388000</v>
      </c>
    </row>
    <row r="20" spans="1:17" ht="15">
      <c r="A20" s="204" t="s">
        <v>21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6" t="s">
        <v>17</v>
      </c>
      <c r="B29" s="207"/>
      <c r="C29" s="208"/>
      <c r="D29" s="208"/>
      <c r="E29" s="208"/>
      <c r="F29" s="209"/>
      <c r="G29" s="23"/>
      <c r="H29" s="57">
        <f>H19+H25</f>
        <v>500000</v>
      </c>
      <c r="I29" s="57">
        <f>I19+I25</f>
        <v>0</v>
      </c>
      <c r="J29" s="56">
        <f>J19+J25</f>
        <v>112000</v>
      </c>
      <c r="K29" s="56">
        <f>K19+K25</f>
        <v>388000</v>
      </c>
      <c r="L29" s="58"/>
      <c r="M29" s="57"/>
      <c r="N29" s="56">
        <f>N19+N25</f>
        <v>7252.9100000000008</v>
      </c>
      <c r="O29" s="56">
        <f>O19+O25</f>
        <v>7648.4600000000009</v>
      </c>
      <c r="P29" s="56">
        <f>P19+P25</f>
        <v>0</v>
      </c>
      <c r="Q29" s="56">
        <f>Q19+Q25</f>
        <v>388000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6" t="s">
        <v>66</v>
      </c>
      <c r="C32" s="197"/>
      <c r="D32" s="197"/>
      <c r="E32" s="198"/>
      <c r="F32" s="199"/>
      <c r="G32" s="199"/>
      <c r="H32" s="200"/>
      <c r="I32" s="201"/>
      <c r="J32" s="201"/>
      <c r="K32" s="201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6" t="s">
        <v>79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65</v>
      </c>
      <c r="D37" s="5"/>
      <c r="E37" s="10"/>
      <c r="F37" s="13"/>
      <c r="G37" s="13"/>
      <c r="H37" s="1"/>
      <c r="I37" s="1"/>
      <c r="J37" s="1" t="s">
        <v>67</v>
      </c>
      <c r="K37" s="1"/>
      <c r="L37" s="1"/>
      <c r="M37" s="1"/>
      <c r="N37" s="1"/>
      <c r="O37" s="1"/>
      <c r="P37" s="1"/>
      <c r="Q37" s="1"/>
    </row>
  </sheetData>
  <mergeCells count="11">
    <mergeCell ref="B35:K35"/>
    <mergeCell ref="A10:M10"/>
    <mergeCell ref="A13:M13"/>
    <mergeCell ref="A20:M20"/>
    <mergeCell ref="A26:M26"/>
    <mergeCell ref="B32:K32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zoomScale="60" workbookViewId="0">
      <selection activeCell="N17" sqref="N17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20.25">
      <c r="A2" s="75"/>
      <c r="B2" s="76"/>
      <c r="C2" s="76"/>
      <c r="D2" s="239" t="s">
        <v>83</v>
      </c>
      <c r="E2" s="240"/>
      <c r="F2" s="240"/>
      <c r="G2" s="240"/>
      <c r="H2" s="240"/>
      <c r="I2" s="240"/>
      <c r="J2" s="240"/>
      <c r="K2" s="240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41" t="s">
        <v>22</v>
      </c>
      <c r="O3" s="241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42"/>
      <c r="G5" s="242"/>
      <c r="H5" s="242"/>
      <c r="I5" s="242"/>
      <c r="J5" s="242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5" t="s">
        <v>19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23" t="s">
        <v>20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402.09+0.15+261.8+31.54+37.43+37.43+90.75+38.84+37.91+39.49+39.49</f>
        <v>1016.9199999999998</v>
      </c>
      <c r="O15" s="108">
        <v>39.49</v>
      </c>
      <c r="P15" s="108">
        <f>M15+N15-O15</f>
        <v>4672.07</v>
      </c>
      <c r="Q15" s="108">
        <f>K15+P15</f>
        <v>4672.07</v>
      </c>
    </row>
    <row r="16" spans="1:17" ht="141.75">
      <c r="A16" s="91">
        <v>2</v>
      </c>
      <c r="B16" s="92" t="s">
        <v>24</v>
      </c>
      <c r="C16" s="93" t="s">
        <v>75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f>22000+11000+22000</f>
        <v>55000</v>
      </c>
      <c r="K16" s="98">
        <f>H16-J16+I16</f>
        <v>325000</v>
      </c>
      <c r="L16" s="108">
        <v>2.75</v>
      </c>
      <c r="M16" s="108">
        <v>300.62</v>
      </c>
      <c r="N16" s="108">
        <f>887.53+801.64+887.53+54.39+858.9+16.42+859.36+32.45+751.09+27.23+38.77+810.46+157.3+47.02+795.54+21.18+47.02</f>
        <v>7093.8300000000008</v>
      </c>
      <c r="O16" s="108">
        <f>810.46+157.3+47.02</f>
        <v>1014.78</v>
      </c>
      <c r="P16" s="108">
        <f>M16+N16-O16</f>
        <v>6379.670000000001</v>
      </c>
      <c r="Q16" s="108">
        <f>K16+P16</f>
        <v>331379.67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102000</v>
      </c>
      <c r="K19" s="104">
        <f>K14+K15+K16+K17+K18</f>
        <v>325000</v>
      </c>
      <c r="L19" s="104"/>
      <c r="M19" s="104">
        <f>M15+M16</f>
        <v>3995.2599999999998</v>
      </c>
      <c r="N19" s="104">
        <f>N14+N15+N16+N17+N18</f>
        <v>8110.7500000000009</v>
      </c>
      <c r="O19" s="104">
        <f>O14+O15+O16+O17+O18</f>
        <v>1054.27</v>
      </c>
      <c r="P19" s="108">
        <f>M19+N19-O19</f>
        <v>11051.74</v>
      </c>
      <c r="Q19" s="108">
        <f>K19+P19</f>
        <v>336051.74</v>
      </c>
    </row>
    <row r="20" spans="1:17" ht="20.25">
      <c r="A20" s="225" t="s">
        <v>21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5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28" t="s">
        <v>17</v>
      </c>
      <c r="B29" s="229"/>
      <c r="C29" s="230"/>
      <c r="D29" s="230"/>
      <c r="E29" s="230"/>
      <c r="F29" s="231"/>
      <c r="G29" s="122"/>
      <c r="H29" s="123">
        <f>H19+H25</f>
        <v>427000</v>
      </c>
      <c r="I29" s="123">
        <f>I19+I25</f>
        <v>0</v>
      </c>
      <c r="J29" s="124">
        <f>J19+J25</f>
        <v>102000</v>
      </c>
      <c r="K29" s="124">
        <f>K19+K25</f>
        <v>325000</v>
      </c>
      <c r="L29" s="125"/>
      <c r="M29" s="123">
        <v>247.72</v>
      </c>
      <c r="N29" s="124">
        <f>N19+N25</f>
        <v>8110.7500000000009</v>
      </c>
      <c r="O29" s="124">
        <f>O19+O25</f>
        <v>1054.27</v>
      </c>
      <c r="P29" s="108">
        <f>M29+N29-O29</f>
        <v>7304.2000000000007</v>
      </c>
      <c r="Q29" s="124">
        <f>Q19+Q25</f>
        <v>336051.74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21" t="s">
        <v>63</v>
      </c>
      <c r="C32" s="232"/>
      <c r="D32" s="232"/>
      <c r="E32" s="233"/>
      <c r="F32" s="234"/>
      <c r="G32" s="234"/>
      <c r="H32" s="235"/>
      <c r="I32" s="222"/>
      <c r="J32" s="222"/>
      <c r="K32" s="222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21" t="s">
        <v>80</v>
      </c>
      <c r="C35" s="222"/>
      <c r="D35" s="222"/>
      <c r="E35" s="222"/>
      <c r="F35" s="222"/>
      <c r="G35" s="222"/>
      <c r="H35" s="222"/>
      <c r="I35" s="222"/>
      <c r="J35" s="222"/>
      <c r="K35" s="222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68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O16" sqref="O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18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59"/>
      <c r="P1" s="259"/>
      <c r="Q1" s="259"/>
    </row>
    <row r="2" spans="1:17" ht="18.75">
      <c r="A2" s="134"/>
      <c r="B2" s="135"/>
      <c r="C2" s="135"/>
      <c r="D2" s="260" t="s">
        <v>83</v>
      </c>
      <c r="E2" s="261"/>
      <c r="F2" s="261"/>
      <c r="G2" s="261"/>
      <c r="H2" s="261"/>
      <c r="I2" s="261"/>
      <c r="J2" s="261"/>
      <c r="K2" s="261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62" t="s">
        <v>22</v>
      </c>
      <c r="O3" s="262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63"/>
      <c r="G5" s="263"/>
      <c r="H5" s="263"/>
      <c r="I5" s="263"/>
      <c r="J5" s="263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8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76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>
        <f>31000+31000+31000+31000+31000</f>
        <v>155000</v>
      </c>
      <c r="K15" s="157">
        <f>H15-J15+I15</f>
        <v>945000</v>
      </c>
      <c r="L15" s="178">
        <v>2.75</v>
      </c>
      <c r="M15" s="167">
        <v>870.21</v>
      </c>
      <c r="N15" s="167">
        <f>2569.18+2320.55+2569.18+3641.9+3729.45+110.83+2935.64+2897.67+3125.24+51.15</f>
        <v>23950.79</v>
      </c>
      <c r="O15" s="167">
        <f>2569.18+3190.76+2569.18+7482.18+2935.64+2897.67+3227.54+0.31</f>
        <v>24872.460000000003</v>
      </c>
      <c r="P15" s="167">
        <f>N15-O15+M15</f>
        <v>-51.460000000001855</v>
      </c>
      <c r="Q15" s="167">
        <f>K15+M15+N15-O15</f>
        <v>944948.54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155000</v>
      </c>
      <c r="K18" s="163">
        <f t="shared" si="0"/>
        <v>945000</v>
      </c>
      <c r="L18" s="163">
        <f t="shared" si="0"/>
        <v>2.75</v>
      </c>
      <c r="M18" s="163">
        <f t="shared" si="0"/>
        <v>870.21</v>
      </c>
      <c r="N18" s="163">
        <f t="shared" si="0"/>
        <v>23950.79</v>
      </c>
      <c r="O18" s="163">
        <f t="shared" si="0"/>
        <v>24872.460000000003</v>
      </c>
      <c r="P18" s="163">
        <f t="shared" si="0"/>
        <v>-51.460000000001855</v>
      </c>
      <c r="Q18" s="163">
        <f t="shared" si="0"/>
        <v>944948.54</v>
      </c>
    </row>
    <row r="19" spans="1:17" ht="18.75">
      <c r="A19" s="248" t="s">
        <v>21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48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51" t="s">
        <v>17</v>
      </c>
      <c r="B28" s="252"/>
      <c r="C28" s="253"/>
      <c r="D28" s="253"/>
      <c r="E28" s="253"/>
      <c r="F28" s="254"/>
      <c r="G28" s="181"/>
      <c r="H28" s="182">
        <f>H18+H24</f>
        <v>110000</v>
      </c>
      <c r="I28" s="182">
        <f>I18+I24</f>
        <v>0</v>
      </c>
      <c r="J28" s="183">
        <f>J18+J24</f>
        <v>155000</v>
      </c>
      <c r="K28" s="183">
        <f>K18+K24</f>
        <v>945000</v>
      </c>
      <c r="L28" s="58"/>
      <c r="M28" s="182">
        <f>M18</f>
        <v>870.21</v>
      </c>
      <c r="N28" s="183">
        <f>N18+N24</f>
        <v>23950.79</v>
      </c>
      <c r="O28" s="183">
        <f>O18+O24</f>
        <v>24872.460000000003</v>
      </c>
      <c r="P28" s="183">
        <f>P18+P24</f>
        <v>-51.460000000001855</v>
      </c>
      <c r="Q28" s="183">
        <f>K28+P28</f>
        <v>944948.54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44" t="s">
        <v>63</v>
      </c>
      <c r="C31" s="255"/>
      <c r="D31" s="255"/>
      <c r="E31" s="256"/>
      <c r="F31" s="257"/>
      <c r="G31" s="257"/>
      <c r="H31" s="258"/>
      <c r="I31" s="245"/>
      <c r="J31" s="245"/>
      <c r="K31" s="245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44" t="s">
        <v>81</v>
      </c>
      <c r="C34" s="245"/>
      <c r="D34" s="245"/>
      <c r="E34" s="245"/>
      <c r="F34" s="245"/>
      <c r="G34" s="245"/>
      <c r="H34" s="245"/>
      <c r="I34" s="245"/>
      <c r="J34" s="245"/>
      <c r="K34" s="245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71</v>
      </c>
      <c r="K35" s="1"/>
      <c r="L35" s="1"/>
      <c r="M35" s="1"/>
      <c r="N35" s="1"/>
      <c r="O35" s="1"/>
      <c r="P35" s="1"/>
      <c r="Q35" s="1"/>
    </row>
    <row r="36" spans="1:17">
      <c r="B36" t="s">
        <v>70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J17" sqref="J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8" t="s">
        <v>51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59"/>
      <c r="P1" s="259"/>
      <c r="Q1" s="259"/>
    </row>
    <row r="2" spans="1:17" ht="18.75">
      <c r="A2" s="134"/>
      <c r="B2" s="135"/>
      <c r="C2" s="135"/>
      <c r="D2" s="260" t="s">
        <v>83</v>
      </c>
      <c r="E2" s="261"/>
      <c r="F2" s="261"/>
      <c r="G2" s="261"/>
      <c r="H2" s="261"/>
      <c r="I2" s="261"/>
      <c r="J2" s="261"/>
      <c r="K2" s="261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62" t="s">
        <v>22</v>
      </c>
      <c r="O3" s="262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63"/>
      <c r="G5" s="263"/>
      <c r="H5" s="263"/>
      <c r="I5" s="263"/>
      <c r="J5" s="263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48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46" t="s">
        <v>20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428.71+179.32+350.13</f>
        <v>958.16</v>
      </c>
      <c r="O15" s="167">
        <f>428.71+1378.39+350.13</f>
        <v>2157.23</v>
      </c>
      <c r="P15" s="167">
        <f>N15-O15+M15</f>
        <v>0</v>
      </c>
      <c r="Q15" s="167">
        <f>K15+P15</f>
        <v>0</v>
      </c>
    </row>
    <row r="16" spans="1:17" ht="156">
      <c r="A16" s="150">
        <v>2</v>
      </c>
      <c r="B16" s="151" t="s">
        <v>24</v>
      </c>
      <c r="C16" s="152" t="s">
        <v>58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33000+33000+33000+33000+33000+33000+33000</f>
        <v>231000</v>
      </c>
      <c r="K16" s="157">
        <f>H16-J16+I16</f>
        <v>549000</v>
      </c>
      <c r="L16" s="167">
        <v>2.75</v>
      </c>
      <c r="M16" s="167">
        <v>7845.41</v>
      </c>
      <c r="N16" s="167">
        <f>1821.78+1645.48+1682.55+1561.62+1543.32+1409.96+1363.32+44.55</f>
        <v>11072.579999999998</v>
      </c>
      <c r="O16" s="167">
        <f>1821.78+9490.89+1682.55+1561.62+1543.32+1409.96+1407.87</f>
        <v>18917.989999999998</v>
      </c>
      <c r="P16" s="167">
        <f>N16-O16+M16</f>
        <v>0</v>
      </c>
      <c r="Q16" s="167">
        <f t="shared" ref="Q16:Q17" si="0">K16+P16</f>
        <v>549000</v>
      </c>
    </row>
    <row r="17" spans="1:17" ht="156">
      <c r="A17" s="150">
        <v>3</v>
      </c>
      <c r="B17" s="151" t="s">
        <v>24</v>
      </c>
      <c r="C17" s="152" t="s">
        <v>69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>
        <f>14000+14000+14000+14000+14000</f>
        <v>70000</v>
      </c>
      <c r="K17" s="157">
        <f>H17-J17+I17</f>
        <v>430000</v>
      </c>
      <c r="L17" s="167">
        <v>2.75</v>
      </c>
      <c r="M17" s="167">
        <v>1751.71</v>
      </c>
      <c r="N17" s="167">
        <f>1167.81+1054.79+1167.81+1900.66+1982.71+1694.45+1059.16+84.15</f>
        <v>10111.539999999999</v>
      </c>
      <c r="O17" s="167">
        <f>1167.81+2806.5+1167.81+1900.66+1982.71+1694.45+1143.31</f>
        <v>11863.25</v>
      </c>
      <c r="P17" s="167">
        <f>N17-O17+M17</f>
        <v>0</v>
      </c>
      <c r="Q17" s="167">
        <f t="shared" si="0"/>
        <v>430000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386000</v>
      </c>
      <c r="K19" s="163">
        <f>K14+K15+K16+K17+K18</f>
        <v>979000</v>
      </c>
      <c r="L19" s="163"/>
      <c r="M19" s="163">
        <f>M14+M15+M16+M17+M18</f>
        <v>10796.189999999999</v>
      </c>
      <c r="N19" s="163">
        <f>N14+N15+N16+N17+N18</f>
        <v>22142.28</v>
      </c>
      <c r="O19" s="163">
        <f>O14+O15+O16+O17+O18</f>
        <v>32938.47</v>
      </c>
      <c r="P19" s="163">
        <f>P14+P15+P16+P17</f>
        <v>0</v>
      </c>
      <c r="Q19" s="167">
        <f>Q15+Q16+Q17</f>
        <v>979000</v>
      </c>
    </row>
    <row r="20" spans="1:17" ht="18.75">
      <c r="A20" s="248" t="s">
        <v>21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48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51" t="s">
        <v>17</v>
      </c>
      <c r="B29" s="252"/>
      <c r="C29" s="253"/>
      <c r="D29" s="253"/>
      <c r="E29" s="253"/>
      <c r="F29" s="254"/>
      <c r="G29" s="181"/>
      <c r="H29" s="182">
        <f>H19+H25</f>
        <v>1365000</v>
      </c>
      <c r="I29" s="182">
        <f>I19+I25</f>
        <v>0</v>
      </c>
      <c r="J29" s="183">
        <f>J19+J25</f>
        <v>386000</v>
      </c>
      <c r="K29" s="183">
        <f>K19+K25</f>
        <v>979000</v>
      </c>
      <c r="L29" s="58"/>
      <c r="M29" s="183">
        <f>M19+M25</f>
        <v>10796.189999999999</v>
      </c>
      <c r="N29" s="183">
        <f>N19+N25</f>
        <v>22142.28</v>
      </c>
      <c r="O29" s="183">
        <f>O19+O25</f>
        <v>32938.47</v>
      </c>
      <c r="P29" s="183">
        <f>P19+P25</f>
        <v>0</v>
      </c>
      <c r="Q29" s="183">
        <f>Q19+Q25</f>
        <v>979000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44" t="s">
        <v>72</v>
      </c>
      <c r="C32" s="255"/>
      <c r="D32" s="255"/>
      <c r="E32" s="256"/>
      <c r="F32" s="257"/>
      <c r="G32" s="257"/>
      <c r="H32" s="258"/>
      <c r="I32" s="245"/>
      <c r="J32" s="245"/>
      <c r="K32" s="245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44" t="s">
        <v>82</v>
      </c>
      <c r="C35" s="245"/>
      <c r="D35" s="245"/>
      <c r="E35" s="245"/>
      <c r="F35" s="245"/>
      <c r="G35" s="245"/>
      <c r="H35" s="245"/>
      <c r="I35" s="245"/>
      <c r="J35" s="245"/>
      <c r="K35" s="245"/>
      <c r="L35" s="134"/>
      <c r="M35" s="134"/>
      <c r="N35" s="134"/>
      <c r="O35" s="134"/>
      <c r="P35" s="134"/>
      <c r="Q35" s="134"/>
    </row>
    <row r="37" spans="1:17">
      <c r="B37" t="s">
        <v>70</v>
      </c>
      <c r="J37" t="s">
        <v>71</v>
      </c>
    </row>
  </sheetData>
  <mergeCells count="11">
    <mergeCell ref="A1:Q1"/>
    <mergeCell ref="D2:K2"/>
    <mergeCell ref="N3:O3"/>
    <mergeCell ref="F5:J5"/>
    <mergeCell ref="A10:M10"/>
    <mergeCell ref="B35:K35"/>
    <mergeCell ref="A13:M13"/>
    <mergeCell ref="A20:M20"/>
    <mergeCell ref="A26:M26"/>
    <mergeCell ref="A29:F29"/>
    <mergeCell ref="B32:K32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2014-06-30T06:13:16Z</cp:lastPrinted>
  <dcterms:created xsi:type="dcterms:W3CDTF">2006-06-05T06:40:26Z</dcterms:created>
  <dcterms:modified xsi:type="dcterms:W3CDTF">2014-09-02T06:45:52Z</dcterms:modified>
</cp:coreProperties>
</file>