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17" i="3"/>
  <c r="P16"/>
  <c r="P18"/>
  <c r="P15"/>
  <c r="P16" i="5"/>
  <c r="P15"/>
  <c r="P16" i="6"/>
  <c r="Q21" i="8" l="1"/>
  <c r="P32" i="2"/>
  <c r="Q32"/>
  <c r="Q30"/>
  <c r="P30"/>
  <c r="Q23"/>
  <c r="Q22"/>
  <c r="Q21"/>
  <c r="P21"/>
  <c r="Q31"/>
  <c r="P31"/>
  <c r="P28"/>
  <c r="Q34" l="1"/>
  <c r="Q37" s="1"/>
  <c r="Q25"/>
  <c r="P34"/>
  <c r="L22"/>
  <c r="L23"/>
  <c r="L21"/>
  <c r="L20"/>
  <c r="L19"/>
  <c r="P23"/>
  <c r="P22"/>
  <c r="P20"/>
  <c r="Q20"/>
  <c r="Q19"/>
  <c r="P19"/>
  <c r="D25" i="8"/>
  <c r="Q22"/>
  <c r="P22"/>
  <c r="L22"/>
  <c r="H22"/>
  <c r="D22"/>
  <c r="P21"/>
  <c r="R33" i="2"/>
  <c r="E34"/>
  <c r="G34"/>
  <c r="H34"/>
  <c r="J34"/>
  <c r="L34"/>
  <c r="M34"/>
  <c r="N34"/>
  <c r="O34"/>
  <c r="D34"/>
  <c r="M33"/>
  <c r="N16" i="5"/>
  <c r="N15"/>
  <c r="N17" i="6" l="1"/>
  <c r="N23" s="1"/>
  <c r="I1" l="1"/>
  <c r="H1" i="5"/>
  <c r="I1" i="8" s="1"/>
  <c r="I1" i="3"/>
  <c r="R16" i="6"/>
  <c r="P17"/>
  <c r="P23" s="1"/>
  <c r="Q28" i="2" l="1"/>
  <c r="J37"/>
  <c r="H37"/>
  <c r="R32"/>
  <c r="M32"/>
  <c r="D37" l="1"/>
  <c r="Q16" i="5"/>
  <c r="Q15"/>
  <c r="Q18" i="9"/>
  <c r="P18"/>
  <c r="L16" i="5"/>
  <c r="L15"/>
  <c r="Q16" i="6" l="1"/>
  <c r="P17" i="2"/>
  <c r="Q17" l="1"/>
  <c r="L17" l="1"/>
  <c r="Q18" i="7" l="1"/>
  <c r="P18"/>
  <c r="P25" i="8" l="1"/>
  <c r="L25" i="2"/>
  <c r="Q17" i="5"/>
  <c r="N25" i="2"/>
  <c r="O25"/>
  <c r="P25"/>
  <c r="M18" i="9"/>
  <c r="N25" i="8"/>
  <c r="O25"/>
  <c r="Q25"/>
  <c r="J25"/>
  <c r="L25"/>
  <c r="H25"/>
  <c r="M21"/>
  <c r="M25" s="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P17" i="5" l="1"/>
  <c r="E19" i="9" l="1"/>
  <c r="F19"/>
  <c r="G19"/>
  <c r="N19"/>
  <c r="O19"/>
  <c r="E15"/>
  <c r="F15"/>
  <c r="G15"/>
  <c r="R18"/>
  <c r="Q19"/>
  <c r="P19"/>
  <c r="R31" i="2"/>
  <c r="I19" i="9"/>
  <c r="J19"/>
  <c r="K19"/>
  <c r="L19"/>
  <c r="H19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D19"/>
  <c r="R24" i="8"/>
  <c r="R21"/>
  <c r="O19"/>
  <c r="N19"/>
  <c r="L19"/>
  <c r="K19"/>
  <c r="J19"/>
  <c r="I19"/>
  <c r="H19"/>
  <c r="D19"/>
  <c r="Q19"/>
  <c r="I37" i="2" l="1"/>
  <c r="G22" i="9"/>
  <c r="F22"/>
  <c r="E22"/>
  <c r="R19" i="8"/>
  <c r="R25" s="1"/>
  <c r="M19"/>
  <c r="P19"/>
  <c r="D19" i="9" l="1"/>
  <c r="R30" i="2" l="1"/>
  <c r="R34" s="1"/>
  <c r="Q18" i="4" l="1"/>
  <c r="M19" i="9" l="1"/>
  <c r="R23" i="2"/>
  <c r="M23" l="1"/>
  <c r="R29" l="1"/>
  <c r="R28" l="1"/>
  <c r="R22" l="1"/>
  <c r="M22"/>
  <c r="R21" l="1"/>
  <c r="M16" i="5"/>
  <c r="G15" i="7"/>
  <c r="G22" s="1"/>
  <c r="J23" i="6"/>
  <c r="K23"/>
  <c r="R17"/>
  <c r="R23" s="1"/>
  <c r="Q17"/>
  <c r="Q23" s="1"/>
  <c r="M16"/>
  <c r="L17"/>
  <c r="L23" s="1"/>
  <c r="H17"/>
  <c r="H23" s="1"/>
  <c r="I17"/>
  <c r="I23" s="1"/>
  <c r="J17"/>
  <c r="K17"/>
  <c r="O17"/>
  <c r="O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L37" i="2"/>
  <c r="R19" i="9"/>
  <c r="R17" i="2" l="1"/>
  <c r="O37"/>
  <c r="M17"/>
  <c r="M19"/>
  <c r="M20"/>
  <c r="M21"/>
  <c r="M25" l="1"/>
  <c r="N37"/>
  <c r="N15" i="9"/>
  <c r="N22" s="1"/>
  <c r="R20" i="2"/>
  <c r="R19"/>
  <c r="P37"/>
  <c r="R25" l="1"/>
  <c r="M37"/>
  <c r="M15" i="9"/>
  <c r="M22" s="1"/>
  <c r="R37" i="2" l="1"/>
  <c r="R15" i="9"/>
  <c r="R22" s="1"/>
</calcChain>
</file>

<file path=xl/sharedStrings.xml><?xml version="1.0" encoding="utf-8"?>
<sst xmlns="http://schemas.openxmlformats.org/spreadsheetml/2006/main" count="318" uniqueCount="84">
  <si>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</si>
  <si>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</si>
  <si>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</si>
  <si>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</si>
  <si>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</si>
  <si>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</si>
  <si>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</si>
  <si>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</si>
  <si>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</si>
  <si>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</si>
  <si>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</si>
  <si>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</si>
  <si>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</si>
  <si>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</si>
  <si>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</si>
  <si>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</si>
  <si>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</si>
  <si>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</si>
  <si>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</si>
  <si>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</si>
  <si>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</si>
  <si>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</si>
  <si>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</si>
  <si>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</si>
  <si>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</si>
  <si>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</si>
  <si>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</si>
  <si>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</si>
  <si>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</si>
  <si>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</si>
  <si>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</si>
  <si>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</si>
  <si>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</si>
  <si>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</si>
  <si>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</si>
  <si>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</si>
  <si>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</si>
  <si>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</si>
  <si>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</si>
  <si>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</si>
  <si>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</si>
  <si>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</si>
  <si>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</si>
  <si>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</si>
  <si>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</si>
  <si>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</si>
  <si>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</si>
  <si>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</si>
  <si>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</si>
  <si>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</si>
  <si>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</si>
  <si>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</si>
  <si>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</si>
  <si>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</si>
  <si>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</si>
  <si>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</si>
  <si>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</si>
  <si>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</si>
  <si>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</si>
  <si>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</si>
  <si>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</si>
  <si>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</si>
  <si>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</si>
  <si>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</si>
  <si>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</si>
  <si>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</si>
  <si>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</si>
  <si>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</si>
  <si>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</si>
  <si>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</si>
  <si>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</si>
  <si>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</si>
  <si>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</si>
  <si>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Исполнитель                                             /  Ю.С. Павлюх    / тел 8(81452)5-13-61</t>
  </si>
  <si>
    <t>10.09</t>
  </si>
  <si>
    <t xml:space="preserve">Информация о долговых обяхательствах  Пудожского муниципального района по состоянию </t>
  </si>
  <si>
    <t>Информация о долговых обязательствах  Шальского сельского поселения</t>
  </si>
  <si>
    <t xml:space="preserve">Информация о долговых обяхательствах Красноборского сельского поселения </t>
  </si>
  <si>
    <t xml:space="preserve">Информация о долговых обязательствах Пудожского городского поселения </t>
  </si>
  <si>
    <t xml:space="preserve">Информация о долговых обяхательствах Авдеевского сельского поселения </t>
  </si>
  <si>
    <t>Муниципальный контракт  N 31 аэф-19 от 02.09.2019</t>
  </si>
  <si>
    <t>на 1 января 2020года</t>
  </si>
  <si>
    <t>АО "Первый Дортрансбанк"</t>
  </si>
  <si>
    <t>Муниципальный контракт №36аэф-19 от 16.12.2019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</si>
</sst>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A13" zoomScale="80" zoomScaleNormal="80" workbookViewId="0">
      <selection activeCell="G32" sqref="G32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6" t="s">
        <v>10</v>
      </c>
      <c r="R1" s="106"/>
    </row>
    <row r="2" spans="1:18" ht="26.25" customHeight="1">
      <c r="Q2" s="106"/>
      <c r="R2" s="106"/>
    </row>
    <row r="3" spans="1:18" ht="21.75" customHeight="1">
      <c r="A3" s="94" t="s">
        <v>75</v>
      </c>
      <c r="B3" s="94"/>
      <c r="C3" s="94"/>
      <c r="D3" s="94"/>
      <c r="E3" s="94"/>
      <c r="F3" s="94"/>
      <c r="G3" s="94" t="s">
        <v>81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7"/>
      <c r="F7" s="107"/>
      <c r="G7" s="107"/>
      <c r="H7" s="107"/>
      <c r="I7" s="107"/>
      <c r="J7" s="107"/>
      <c r="K7" s="107"/>
      <c r="L7" s="107"/>
      <c r="M7" s="9"/>
      <c r="N7" s="9"/>
    </row>
    <row r="8" spans="1:18" ht="5.25" customHeight="1"/>
    <row r="9" spans="1:18" ht="15" customHeight="1"/>
    <row r="10" spans="1:18" ht="36.75" customHeight="1">
      <c r="A10" s="108" t="s">
        <v>1</v>
      </c>
      <c r="B10" s="101" t="s">
        <v>23</v>
      </c>
      <c r="C10" s="101" t="s">
        <v>11</v>
      </c>
      <c r="D10" s="101" t="s">
        <v>24</v>
      </c>
      <c r="E10" s="101" t="s">
        <v>25</v>
      </c>
      <c r="F10" s="101" t="s">
        <v>7</v>
      </c>
      <c r="G10" s="101" t="s">
        <v>0</v>
      </c>
      <c r="H10" s="101" t="s">
        <v>15</v>
      </c>
      <c r="I10" s="101" t="s">
        <v>8</v>
      </c>
      <c r="J10" s="101" t="s">
        <v>12</v>
      </c>
      <c r="K10" s="101" t="s">
        <v>9</v>
      </c>
      <c r="L10" s="101" t="s">
        <v>13</v>
      </c>
      <c r="M10" s="109" t="s">
        <v>22</v>
      </c>
      <c r="N10" s="110"/>
      <c r="O10" s="101" t="s">
        <v>4</v>
      </c>
      <c r="P10" s="101" t="s">
        <v>19</v>
      </c>
      <c r="Q10" s="101" t="s">
        <v>18</v>
      </c>
      <c r="R10" s="101" t="s">
        <v>17</v>
      </c>
    </row>
    <row r="11" spans="1:18" s="13" customFormat="1" ht="94.5" customHeight="1">
      <c r="A11" s="108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40" t="s">
        <v>14</v>
      </c>
      <c r="N11" s="40" t="s">
        <v>16</v>
      </c>
      <c r="O11" s="102"/>
      <c r="P11" s="102"/>
      <c r="Q11" s="102"/>
      <c r="R11" s="102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3" t="s">
        <v>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7" t="s">
        <v>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96">
        <f>1544000+1544000+1544000+1544000+1544000+1544000+1544000+2000</f>
        <v>10810000</v>
      </c>
      <c r="M17" s="96">
        <f t="shared" ref="M17:M23" si="0">H17+J17-L17</f>
        <v>0</v>
      </c>
      <c r="N17" s="49"/>
      <c r="O17" s="48">
        <v>0</v>
      </c>
      <c r="P17" s="48">
        <f>22622.12+16065.84+16612.58+1595.47+11804.81+7543.62+4325.6+529.45</f>
        <v>81099.490000000005</v>
      </c>
      <c r="Q17" s="48">
        <f>22622.12+16065.84+18208.05+11804.81+7543.62+4325.6+529.45</f>
        <v>81099.489999999991</v>
      </c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96"/>
      <c r="M18" s="96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96">
        <f>450000+450000+450000+450000+450000+450000+450000+450000+450000+450000+450000+50000</f>
        <v>5000000</v>
      </c>
      <c r="M19" s="96">
        <f t="shared" si="0"/>
        <v>0</v>
      </c>
      <c r="N19" s="49"/>
      <c r="O19" s="48">
        <v>0</v>
      </c>
      <c r="P19" s="48">
        <f>10650.45+8346.98+8898.97+465+7494.24+6255.81+5128.15+4038.75+3082.53+1928.55+1096.68+276.07+17.81</f>
        <v>57679.99</v>
      </c>
      <c r="Q19" s="48">
        <f>10650.45+8346.98+9363.97+7494.24+6255.81+5128.15+4038.75+3082.53+1928.55+1061.1+1096.68-767.22</f>
        <v>57679.99</v>
      </c>
      <c r="R19" s="49">
        <f t="shared" si="1"/>
        <v>0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96">
        <f>151000+151000+151000+151000+151000+151000+151000+151000+151000+151000+151000+151000</f>
        <v>1812000</v>
      </c>
      <c r="M20" s="96">
        <f t="shared" si="0"/>
        <v>0</v>
      </c>
      <c r="N20" s="49"/>
      <c r="O20" s="48">
        <v>0</v>
      </c>
      <c r="P20" s="48">
        <f>3868.27+3066.84+3280.55+156.03+2799.69+2393.62+2001.44+1639.29+1309.91+906.97+631.51+331.7+53.79</f>
        <v>22439.61</v>
      </c>
      <c r="Q20" s="48">
        <f>3868.27+3066.84+3436.58+2799.69+2393.62+2001.44+1639.29+1309.91+906.97+617.74+631.51-232.25</f>
        <v>22439.61</v>
      </c>
      <c r="R20" s="49">
        <f t="shared" si="1"/>
        <v>0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90">
        <f>596000+596000+596000+596000+596000+596000+596000+596000+586000+596000</f>
        <v>5950000</v>
      </c>
      <c r="M21" s="96">
        <f t="shared" si="0"/>
        <v>1797000</v>
      </c>
      <c r="N21" s="28"/>
      <c r="O21" s="28">
        <v>0</v>
      </c>
      <c r="P21" s="48">
        <f>615.87+89063.44+40210.2</f>
        <v>129889.51</v>
      </c>
      <c r="Q21" s="48">
        <f>615.87+89063.44+767.22+232.25+39276.9-66.17</f>
        <v>129889.51</v>
      </c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90">
        <f>60000+60000+60000+60000+60000+60000+60000+60000+60000+60000+60000+60000</f>
        <v>720000</v>
      </c>
      <c r="M22" s="96">
        <f t="shared" si="0"/>
        <v>420000</v>
      </c>
      <c r="N22" s="28"/>
      <c r="O22" s="28">
        <v>0</v>
      </c>
      <c r="P22" s="48">
        <f>62+12309.86+6842.78</f>
        <v>19214.64</v>
      </c>
      <c r="Q22" s="48">
        <f>62+12309.86+6858.24-15.46</f>
        <v>19214.64</v>
      </c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90">
        <f>273000+273000+273000+273000+273000+273000+273000+273000+273000+273000</f>
        <v>2730000</v>
      </c>
      <c r="M23" s="96">
        <f t="shared" si="0"/>
        <v>2740000</v>
      </c>
      <c r="N23" s="28"/>
      <c r="O23" s="28">
        <v>0</v>
      </c>
      <c r="P23" s="48">
        <f>282.1+65423.6+40795.06</f>
        <v>106500.76</v>
      </c>
      <c r="Q23" s="28">
        <f>282.1+65423.6+40895.96-100.9</f>
        <v>106500.76000000001</v>
      </c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90"/>
      <c r="M24" s="96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90">
        <f t="shared" si="2"/>
        <v>27022000</v>
      </c>
      <c r="M25" s="90">
        <f t="shared" si="2"/>
        <v>4957000</v>
      </c>
      <c r="N25" s="28">
        <f t="shared" si="2"/>
        <v>0</v>
      </c>
      <c r="O25" s="28">
        <f t="shared" si="2"/>
        <v>0</v>
      </c>
      <c r="P25" s="48">
        <f t="shared" si="2"/>
        <v>416824.00000000006</v>
      </c>
      <c r="Q25" s="48">
        <f>Q17+Q19+Q20+Q21+Q22+Q23</f>
        <v>416824</v>
      </c>
      <c r="R25" s="48">
        <f t="shared" si="2"/>
        <v>0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7" t="s">
        <v>20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</row>
    <row r="28" spans="1:18" s="3" customFormat="1" ht="58.5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93" t="s">
        <v>74</v>
      </c>
      <c r="L28" s="57">
        <v>7900000</v>
      </c>
      <c r="M28" s="49">
        <f>H28+J28-L28</f>
        <v>0</v>
      </c>
      <c r="N28" s="49"/>
      <c r="O28" s="49"/>
      <c r="P28" s="92">
        <f>68330.45+61717.83+68330.45+66126.25+68330.45+66126.25+68330.45+68330.45+22042.08</f>
        <v>557664.65999999992</v>
      </c>
      <c r="Q28" s="48">
        <f>68330.45+61717.83+68330.45+66126.25+68330.45+66126.25+68330.45+68330.45+22042.08</f>
        <v>557664.65999999992</v>
      </c>
      <c r="R28" s="49">
        <f t="shared" ref="R28:R33" si="3">O28+P28-Q28</f>
        <v>0</v>
      </c>
    </row>
    <row r="29" spans="1:18" s="3" customFormat="1" ht="49.5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66</v>
      </c>
      <c r="L29" s="57">
        <v>1757000</v>
      </c>
      <c r="M29" s="49">
        <f t="shared" ref="M29:M31" si="4">H29+J29-L29</f>
        <v>0</v>
      </c>
      <c r="N29" s="49"/>
      <c r="O29" s="49"/>
      <c r="P29" s="92">
        <v>17906.96</v>
      </c>
      <c r="Q29" s="48">
        <v>17906.96</v>
      </c>
      <c r="R29" s="49">
        <f t="shared" si="3"/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4"/>
        <v>15000000</v>
      </c>
      <c r="N30" s="49"/>
      <c r="O30" s="49"/>
      <c r="P30" s="92">
        <f>108287.67+97808.22+108287.67+104794.52+108287.67+104794.52+108287.67+108287.67+104794.52+108287.67+104794.52+108287.67</f>
        <v>1274999.99</v>
      </c>
      <c r="Q30" s="48">
        <f>108287.67+97808.22+108287.67+104794.52+108287.67+104794.52+108287.67+108287.67+104794.52+108287.67+104794.52+108287.67</f>
        <v>1274999.99</v>
      </c>
      <c r="R30" s="49">
        <f t="shared" si="3"/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4"/>
        <v>20000000</v>
      </c>
      <c r="N31" s="49"/>
      <c r="O31" s="49"/>
      <c r="P31" s="92">
        <f>140136.99+126575.34+140136.99+135616.44+140136.99+135616.44+140136.99+140136.99+135616.44+140136.99+135616.44</f>
        <v>1509863.0399999998</v>
      </c>
      <c r="Q31" s="48">
        <f>140136.99+126575.34+140136.99+135616.44+140136.99+135616.44+140136.99+140136.99+135616.44+140136.99+135616.44</f>
        <v>1509863.0399999998</v>
      </c>
      <c r="R31" s="49">
        <f t="shared" si="3"/>
        <v>0</v>
      </c>
    </row>
    <row r="32" spans="1:18" s="3" customFormat="1" ht="49.5" customHeight="1">
      <c r="A32" s="76">
        <v>5</v>
      </c>
      <c r="B32" s="22" t="s">
        <v>80</v>
      </c>
      <c r="C32" s="23" t="s">
        <v>44</v>
      </c>
      <c r="D32" s="44">
        <v>20000000</v>
      </c>
      <c r="E32" s="45">
        <v>44439</v>
      </c>
      <c r="F32" s="46" t="s">
        <v>30</v>
      </c>
      <c r="G32" s="77">
        <v>8.6999999999999993</v>
      </c>
      <c r="H32" s="48">
        <v>0</v>
      </c>
      <c r="I32" s="75">
        <v>43717</v>
      </c>
      <c r="J32" s="60">
        <v>20000000</v>
      </c>
      <c r="K32" s="78"/>
      <c r="L32" s="57"/>
      <c r="M32" s="49">
        <f>H32+J32-L32</f>
        <v>20000000</v>
      </c>
      <c r="N32" s="49"/>
      <c r="O32" s="49"/>
      <c r="P32" s="92">
        <f>100109.59+147780.82+143013.7+147780.82+140136.99</f>
        <v>678821.91999999993</v>
      </c>
      <c r="Q32" s="48">
        <f>100109.59+147780.82+143013.7+147780.82+140136.99</f>
        <v>678821.91999999993</v>
      </c>
      <c r="R32" s="49">
        <f t="shared" si="3"/>
        <v>0</v>
      </c>
    </row>
    <row r="33" spans="1:18" s="3" customFormat="1" ht="49.5" customHeight="1">
      <c r="A33" s="76">
        <v>6</v>
      </c>
      <c r="B33" s="22" t="s">
        <v>83</v>
      </c>
      <c r="C33" s="23" t="s">
        <v>82</v>
      </c>
      <c r="D33" s="44">
        <v>16377000</v>
      </c>
      <c r="E33" s="45">
        <v>44530</v>
      </c>
      <c r="F33" s="46" t="s">
        <v>30</v>
      </c>
      <c r="G33" s="77">
        <v>8</v>
      </c>
      <c r="H33" s="48">
        <v>0</v>
      </c>
      <c r="I33" s="75">
        <v>43816</v>
      </c>
      <c r="J33" s="60">
        <v>16377000</v>
      </c>
      <c r="K33" s="78"/>
      <c r="L33" s="57"/>
      <c r="M33" s="49">
        <f>H33+J33-L33</f>
        <v>16377000</v>
      </c>
      <c r="N33" s="49"/>
      <c r="O33" s="49"/>
      <c r="P33" s="92"/>
      <c r="Q33" s="48"/>
      <c r="R33" s="49">
        <f t="shared" si="3"/>
        <v>0</v>
      </c>
    </row>
    <row r="34" spans="1:18" s="3" customFormat="1" ht="18.75" customHeight="1">
      <c r="A34" s="35" t="s">
        <v>2</v>
      </c>
      <c r="B34" s="22"/>
      <c r="C34" s="23"/>
      <c r="D34" s="44">
        <f>D28+D29+D30+D31+D32+D33</f>
        <v>95377000</v>
      </c>
      <c r="E34" s="44">
        <f t="shared" ref="E34:R34" si="5">E28+E29+E30+E31+E32+E33</f>
        <v>264440</v>
      </c>
      <c r="F34" s="44"/>
      <c r="G34" s="44">
        <f t="shared" si="5"/>
        <v>55.634</v>
      </c>
      <c r="H34" s="44">
        <f t="shared" si="5"/>
        <v>44657000</v>
      </c>
      <c r="I34" s="44"/>
      <c r="J34" s="44">
        <f t="shared" si="5"/>
        <v>36377000</v>
      </c>
      <c r="K34" s="44"/>
      <c r="L34" s="44">
        <f t="shared" si="5"/>
        <v>9657000</v>
      </c>
      <c r="M34" s="44">
        <f t="shared" si="5"/>
        <v>71377000</v>
      </c>
      <c r="N34" s="44">
        <f t="shared" si="5"/>
        <v>0</v>
      </c>
      <c r="O34" s="44">
        <f t="shared" si="5"/>
        <v>0</v>
      </c>
      <c r="P34" s="44">
        <f>P28+P29+P30+P31+P32+P33</f>
        <v>4039256.5699999994</v>
      </c>
      <c r="Q34" s="44">
        <f>Q28+Q29+Q30+Q31+Q32+Q33</f>
        <v>4039256.5699999994</v>
      </c>
      <c r="R34" s="44">
        <f t="shared" si="5"/>
        <v>0</v>
      </c>
    </row>
    <row r="35" spans="1:18" s="3" customFormat="1" ht="0.75" customHeight="1">
      <c r="A35" s="97" t="s">
        <v>21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1:18" s="3" customFormat="1" ht="24" customHeight="1">
      <c r="A36" s="33"/>
      <c r="B36" s="22"/>
      <c r="C36" s="23"/>
      <c r="D36" s="24"/>
      <c r="E36" s="25"/>
      <c r="F36" s="26"/>
      <c r="G36" s="28"/>
      <c r="H36" s="27"/>
      <c r="I36" s="28"/>
      <c r="J36" s="28"/>
      <c r="K36" s="28"/>
      <c r="L36" s="29"/>
      <c r="M36" s="28"/>
      <c r="N36" s="28"/>
      <c r="O36" s="28"/>
      <c r="P36" s="28"/>
      <c r="Q36" s="28"/>
      <c r="R36" s="34"/>
    </row>
    <row r="37" spans="1:18" s="3" customFormat="1" ht="18.75" customHeight="1">
      <c r="A37" s="35" t="s">
        <v>31</v>
      </c>
      <c r="B37" s="22"/>
      <c r="C37" s="23"/>
      <c r="D37" s="44">
        <f>D25+D34+D30</f>
        <v>110377000</v>
      </c>
      <c r="E37" s="44"/>
      <c r="F37" s="44"/>
      <c r="G37" s="44"/>
      <c r="H37" s="44">
        <f>H25+H34</f>
        <v>76636000</v>
      </c>
      <c r="I37" s="44">
        <f>I25+I34</f>
        <v>0</v>
      </c>
      <c r="J37" s="44">
        <f>J25+J34</f>
        <v>36377000</v>
      </c>
      <c r="K37" s="44"/>
      <c r="L37" s="44">
        <f t="shared" ref="L37:R37" si="6">L25+L34</f>
        <v>36679000</v>
      </c>
      <c r="M37" s="87">
        <f t="shared" si="6"/>
        <v>76334000</v>
      </c>
      <c r="N37" s="44">
        <f t="shared" si="6"/>
        <v>0</v>
      </c>
      <c r="O37" s="44">
        <f t="shared" si="6"/>
        <v>0</v>
      </c>
      <c r="P37" s="87">
        <f t="shared" si="6"/>
        <v>4456080.5699999994</v>
      </c>
      <c r="Q37" s="87">
        <f>Q25+Q34</f>
        <v>4456080.5699999994</v>
      </c>
      <c r="R37" s="44">
        <f t="shared" si="6"/>
        <v>0</v>
      </c>
    </row>
    <row r="38" spans="1:18" s="19" customFormat="1" ht="33" hidden="1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ht="10.5" customHeight="1">
      <c r="A39" s="14"/>
      <c r="B39" s="15"/>
      <c r="C39" s="15"/>
      <c r="D39" s="16"/>
      <c r="E39" s="18"/>
      <c r="F39" s="18"/>
      <c r="G39" s="20"/>
      <c r="H39" s="20"/>
      <c r="I39" s="21"/>
      <c r="J39" s="21"/>
      <c r="K39" s="21"/>
      <c r="L39" s="21"/>
      <c r="M39" s="20"/>
      <c r="N39" s="20"/>
      <c r="O39" s="20"/>
      <c r="P39" s="20"/>
      <c r="Q39" s="20"/>
      <c r="R39" s="20"/>
    </row>
    <row r="40" spans="1:18">
      <c r="A40" s="36" t="s">
        <v>50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67</v>
      </c>
      <c r="B42" s="37"/>
      <c r="C42" s="37"/>
      <c r="D42" s="38"/>
      <c r="E42" s="39"/>
      <c r="F42" s="39"/>
      <c r="H42" s="36"/>
      <c r="I42" s="36"/>
    </row>
    <row r="44" spans="1:18">
      <c r="A44" s="36" t="s">
        <v>73</v>
      </c>
      <c r="B44" s="37"/>
      <c r="C44" s="37"/>
      <c r="D44" s="38"/>
      <c r="E44" s="39"/>
      <c r="F44" s="39"/>
      <c r="H44" s="36"/>
      <c r="I44" s="36"/>
    </row>
    <row r="48" spans="1:18">
      <c r="A48" s="36"/>
      <c r="B48" s="37"/>
      <c r="C48" s="37"/>
      <c r="D48" s="38"/>
      <c r="E48" s="39"/>
      <c r="F48" s="39"/>
      <c r="H48" s="36"/>
      <c r="I48" s="36"/>
    </row>
    <row r="59" spans="2:2" ht="16.5" customHeight="1"/>
    <row r="60" spans="2:2" ht="30" customHeight="1">
      <c r="B60" s="17"/>
    </row>
  </sheetData>
  <mergeCells count="24">
    <mergeCell ref="Q1:R2"/>
    <mergeCell ref="E7:L7"/>
    <mergeCell ref="A10:A11"/>
    <mergeCell ref="I10:I11"/>
    <mergeCell ref="J10:J11"/>
    <mergeCell ref="K10:K11"/>
    <mergeCell ref="L10:L11"/>
    <mergeCell ref="M10:N10"/>
    <mergeCell ref="A35:R35"/>
    <mergeCell ref="A38:R38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topLeftCell="E16" zoomScaleNormal="100" workbookViewId="0">
      <selection activeCell="P18" sqref="P18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4" t="s">
        <v>76</v>
      </c>
      <c r="B1" s="94"/>
      <c r="C1" s="94"/>
      <c r="D1" s="94"/>
      <c r="E1" s="94"/>
      <c r="F1" s="94"/>
      <c r="G1" s="94"/>
      <c r="H1" s="94"/>
      <c r="I1" s="94" t="str">
        <f>район!G3</f>
        <v>на 1 января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  <c r="S8" s="1"/>
      <c r="T8" s="1"/>
    </row>
    <row r="9" spans="1:20" ht="33.7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55" t="s">
        <v>14</v>
      </c>
      <c r="N9" s="55" t="s">
        <v>16</v>
      </c>
      <c r="O9" s="102"/>
      <c r="P9" s="102"/>
      <c r="Q9" s="102"/>
      <c r="R9" s="102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96">
        <f>H15+J15-L15</f>
        <v>495000</v>
      </c>
      <c r="N15" s="96">
        <v>495000</v>
      </c>
      <c r="O15" s="90">
        <v>13795.48</v>
      </c>
      <c r="P15" s="90">
        <f>1086.06+5.68+26.35+980.96+5.05+13.18+1086.06+4.56+26.35+1051.03+5.61+21.96+1086.06+26.35+5.7+1035.21+1051.03+5.43+25.5+1051.03+5.52+25.5+958.36+3498+84.53+980.96+3580.5+163.86+881.51+3217.5+177.96+892.81+208.4+3258.75</f>
        <v>26533.320000000003</v>
      </c>
      <c r="Q15" s="90">
        <v>4312.8500000000004</v>
      </c>
      <c r="R15" s="96">
        <f>O15+P15-Q15</f>
        <v>36015.950000000004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96">
        <f>H16+J16-L16</f>
        <v>1356500</v>
      </c>
      <c r="N16" s="96">
        <v>1356500</v>
      </c>
      <c r="O16" s="90">
        <v>38042.15</v>
      </c>
      <c r="P16" s="90">
        <f>20000+2976.25+55.8+15.89+2688.22+27.9+13.84+2976.25+27.9+13.84+2880.24+46.5+15.38+2976.25+55.8+15.63+2836.88+2880.24+54+14.89+2880.24+54+15.12+2739.54+9999.33+239.83+2688.22+9812.02+467.31+2415.68+8817.25+504.22+2446.66+8930.29+587.96</f>
        <v>93169.37000000001</v>
      </c>
      <c r="Q16" s="90">
        <v>11738.01</v>
      </c>
      <c r="R16" s="96">
        <f>O16+P16-Q16</f>
        <v>119473.51000000002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96">
        <f>H17+J17-L17</f>
        <v>1745000</v>
      </c>
      <c r="N17" s="96">
        <v>1745000</v>
      </c>
      <c r="O17" s="90">
        <v>4709.6899999999996</v>
      </c>
      <c r="P17" s="90">
        <f>22339.99+3828.64+6.46+20.4+3458.13+3.88+17.8+3828.64+7.75+18.76+3705.14+6.46+19.78+3828.64+7.75+20.1+3585.62+3705.14+7.5+18.82+3705.14+7.5+19.45+3378.45+12331.33+91.54+3458.13+12622.17+256.18+3107.53+11342.5+336.4+3147.37+11487.92+448.05</f>
        <v>114175.05999999997</v>
      </c>
      <c r="Q17" s="90">
        <v>14921.84</v>
      </c>
      <c r="R17" s="96">
        <f>O17+P17-Q17</f>
        <v>103962.90999999997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96">
        <f>H18+J18-L18</f>
        <v>1415000</v>
      </c>
      <c r="N18" s="96">
        <v>1415000</v>
      </c>
      <c r="O18" s="90">
        <v>38625.760000000002</v>
      </c>
      <c r="P18" s="90">
        <f>3104.6+220.1+16.58+2804.16+110.05+14.44+3104.6+220.1+15.21+3004.45+183.42+16.04+3104.6+220.1+16.3+2959.22+3004.45+213+15.54+3004.45+213+15.77+2626.28+9585.93+232.52+2804.16+10235.17+461.75+2519.86+9197.5+502.7+2552.17+9315.42+589.59</f>
        <v>76203.229999999981</v>
      </c>
      <c r="Q18" s="90">
        <v>12813.75</v>
      </c>
      <c r="R18" s="96">
        <f>O18+P18-Q18</f>
        <v>102015.23999999999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87">
        <f t="shared" si="0"/>
        <v>5011500</v>
      </c>
      <c r="N19" s="87">
        <f t="shared" si="0"/>
        <v>5011500</v>
      </c>
      <c r="O19" s="87">
        <f t="shared" si="0"/>
        <v>95173.080000000016</v>
      </c>
      <c r="P19" s="87">
        <f t="shared" si="0"/>
        <v>310080.98</v>
      </c>
      <c r="Q19" s="87">
        <f t="shared" si="0"/>
        <v>43786.45</v>
      </c>
      <c r="R19" s="87">
        <f t="shared" si="0"/>
        <v>361467.61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11" t="s">
        <v>20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11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5011500</v>
      </c>
      <c r="O26" s="91">
        <f t="shared" si="1"/>
        <v>95173.080000000016</v>
      </c>
      <c r="P26" s="91">
        <f t="shared" si="1"/>
        <v>310080.98</v>
      </c>
      <c r="Q26" s="91">
        <f t="shared" si="1"/>
        <v>43786.45</v>
      </c>
      <c r="R26" s="91">
        <f t="shared" si="1"/>
        <v>361467.61</v>
      </c>
      <c r="S26" s="3"/>
      <c r="T26" s="3"/>
    </row>
    <row r="27" spans="1:20" ht="34.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H7" sqref="H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  <c r="S8" s="1"/>
      <c r="T8" s="1"/>
    </row>
    <row r="9" spans="1:20" ht="78.7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55" t="s">
        <v>14</v>
      </c>
      <c r="N9" s="55" t="s">
        <v>16</v>
      </c>
      <c r="O9" s="102"/>
      <c r="P9" s="102"/>
      <c r="Q9" s="102"/>
      <c r="R9" s="102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7" t="s">
        <v>20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7" t="s">
        <v>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topLeftCell="A10" zoomScale="77" zoomScaleNormal="77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4" max="14" width="11.71093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4" t="s">
        <v>77</v>
      </c>
      <c r="B1" s="94"/>
      <c r="C1" s="94"/>
      <c r="D1" s="94"/>
      <c r="E1" s="94"/>
      <c r="F1" s="94"/>
      <c r="G1" s="94"/>
      <c r="H1" s="94" t="str">
        <f>район!G3</f>
        <v>на 1 января 2020года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  <c r="S8" s="1"/>
      <c r="T8" s="1"/>
    </row>
    <row r="9" spans="1:20" ht="4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55" t="s">
        <v>14</v>
      </c>
      <c r="N9" s="55" t="s">
        <v>16</v>
      </c>
      <c r="O9" s="102"/>
      <c r="P9" s="102"/>
      <c r="Q9" s="102"/>
      <c r="R9" s="102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44196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25500+8500+8500+8500+8500+8500</f>
        <v>68000</v>
      </c>
      <c r="M15" s="47">
        <f>H15+J15-L15</f>
        <v>136000</v>
      </c>
      <c r="N15" s="95">
        <f>8500+8500+8500+8500</f>
        <v>34000</v>
      </c>
      <c r="O15" s="70">
        <v>863.11</v>
      </c>
      <c r="P15" s="70">
        <f>447.59+2.39+68.07+404.27+2.08+61.48+431.35+362.66+372.99+63.68+342.29+324.86+0.88+61.63+305.07+2.12+34+418.19+1.95+9.92+269.52+5.89+122.97+242.19+7.88+165.75+245.3+10.94+223.83</f>
        <v>5011.74</v>
      </c>
      <c r="Q15" s="70">
        <f>476.47+2.66+1235.84+134.02+431.35+362.66+372.99+63.68+324.86+0.88+13.5+313.78</f>
        <v>3732.6899999999996</v>
      </c>
      <c r="R15" s="49">
        <f>O15+P15-Q15</f>
        <v>2142.16</v>
      </c>
      <c r="S15" s="3"/>
      <c r="T15" s="3"/>
    </row>
    <row r="16" spans="1:20" ht="131.25">
      <c r="A16" s="64">
        <v>4</v>
      </c>
      <c r="B16" s="63" t="s">
        <v>64</v>
      </c>
      <c r="C16" s="65" t="s">
        <v>37</v>
      </c>
      <c r="D16" s="66">
        <v>216000</v>
      </c>
      <c r="E16" s="67">
        <v>44196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27000+9000+9000+9000+9000+9000</f>
        <v>72000</v>
      </c>
      <c r="M16" s="47">
        <f>H16+J16-L16</f>
        <v>144000</v>
      </c>
      <c r="N16" s="28">
        <f>9000+9000+9000+9000</f>
        <v>36000</v>
      </c>
      <c r="O16" s="70">
        <v>1492.43</v>
      </c>
      <c r="P16" s="70">
        <f>458.63+2.49+72.08+414.25+2.13+65.1+452.84+0.51+373.01+382.19+13.95+362.42+343.97+1.97+13.5+323.01+1.7+394.96+1.84+10.5+285.37+4.74+130.2+256.44+6.99+175.5+259.73+9.97+229.5</f>
        <v>5049.4899999999989</v>
      </c>
      <c r="Q16" s="70">
        <f>2.82+504.49+1764.16+141.8+536.68+0.51+10+373.01+0.51+382.19+13.95+343.97+1.97+61.63+390.42</f>
        <v>4528.1099999999997</v>
      </c>
      <c r="R16" s="49">
        <f>O16+P16-Q16</f>
        <v>2013.8099999999995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88392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140000</v>
      </c>
      <c r="M17" s="44">
        <f t="shared" si="0"/>
        <v>280000</v>
      </c>
      <c r="N17" s="44">
        <f t="shared" si="0"/>
        <v>70000</v>
      </c>
      <c r="O17" s="44">
        <f t="shared" si="0"/>
        <v>2355.54</v>
      </c>
      <c r="P17" s="44">
        <f t="shared" si="0"/>
        <v>10061.23</v>
      </c>
      <c r="Q17" s="44">
        <f t="shared" si="0"/>
        <v>8260.7999999999993</v>
      </c>
      <c r="R17" s="44">
        <f t="shared" si="0"/>
        <v>4155.9699999999993</v>
      </c>
      <c r="S17" s="3"/>
      <c r="T17" s="3"/>
    </row>
    <row r="18" spans="1:20" ht="15">
      <c r="A18" s="97" t="s">
        <v>20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7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140000</v>
      </c>
      <c r="M23" s="91">
        <f t="shared" si="1"/>
        <v>280000</v>
      </c>
      <c r="N23" s="91">
        <f t="shared" si="1"/>
        <v>70000</v>
      </c>
      <c r="O23" s="91">
        <f t="shared" si="1"/>
        <v>2355.54</v>
      </c>
      <c r="P23" s="91">
        <f t="shared" si="1"/>
        <v>10061.23</v>
      </c>
      <c r="Q23" s="91">
        <f t="shared" si="1"/>
        <v>8260.7999999999993</v>
      </c>
      <c r="R23" s="91">
        <f t="shared" si="1"/>
        <v>4155.9699999999993</v>
      </c>
      <c r="S23" s="3"/>
      <c r="T23" s="3"/>
    </row>
    <row r="24" spans="1:20" ht="15" thickBo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N18" sqref="N18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12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4" t="s">
        <v>78</v>
      </c>
      <c r="B1" s="94"/>
      <c r="C1" s="94"/>
      <c r="D1" s="94"/>
      <c r="E1" s="94"/>
      <c r="F1" s="94"/>
      <c r="G1" s="94"/>
      <c r="H1" s="94"/>
      <c r="I1" s="94" t="str">
        <f>Красноборский!H1</f>
        <v>на 1 января 2020года</v>
      </c>
      <c r="J1" s="94"/>
      <c r="K1" s="94"/>
      <c r="L1" s="94"/>
      <c r="M1" s="94"/>
      <c r="N1" s="94"/>
      <c r="O1" s="94"/>
      <c r="P1" s="94"/>
      <c r="Q1" s="94"/>
      <c r="R1" s="94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</row>
    <row r="9" spans="1:18" ht="78.7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14</v>
      </c>
      <c r="N9" s="80" t="s">
        <v>16</v>
      </c>
      <c r="O9" s="102"/>
      <c r="P9" s="102"/>
      <c r="Q9" s="102"/>
      <c r="R9" s="102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7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75">
      <c r="A21" s="33" t="s">
        <v>56</v>
      </c>
      <c r="B21" s="22" t="s">
        <v>57</v>
      </c>
      <c r="C21" s="23" t="s">
        <v>44</v>
      </c>
      <c r="D21" s="44">
        <v>2000000</v>
      </c>
      <c r="E21" s="45">
        <v>43677</v>
      </c>
      <c r="F21" s="26" t="s">
        <v>58</v>
      </c>
      <c r="G21" s="48">
        <v>8.77</v>
      </c>
      <c r="H21" s="27">
        <v>2000000</v>
      </c>
      <c r="I21" s="72"/>
      <c r="J21" s="28"/>
      <c r="K21" s="72">
        <v>43671</v>
      </c>
      <c r="L21" s="29">
        <v>2000000</v>
      </c>
      <c r="M21" s="28">
        <f>H21-L21</f>
        <v>0</v>
      </c>
      <c r="N21" s="28"/>
      <c r="O21" s="28"/>
      <c r="P21" s="48">
        <f>102316.67-1381.65-99.99</f>
        <v>100835.03</v>
      </c>
      <c r="Q21" s="48">
        <f>102316.67-1481.64</f>
        <v>100835.03</v>
      </c>
      <c r="R21" s="34">
        <f>O21+P21-Q21</f>
        <v>0</v>
      </c>
    </row>
    <row r="22" spans="1:18" ht="15">
      <c r="A22" s="35" t="s">
        <v>2</v>
      </c>
      <c r="B22" s="22"/>
      <c r="C22" s="23"/>
      <c r="D22" s="44">
        <f>D21</f>
        <v>2000000</v>
      </c>
      <c r="E22" s="25"/>
      <c r="F22" s="26"/>
      <c r="G22" s="28"/>
      <c r="H22" s="44">
        <f>H21</f>
        <v>2000000</v>
      </c>
      <c r="I22" s="28"/>
      <c r="J22" s="28"/>
      <c r="K22" s="28"/>
      <c r="L22" s="44">
        <f>L21</f>
        <v>2000000</v>
      </c>
      <c r="M22" s="28"/>
      <c r="N22" s="28"/>
      <c r="O22" s="28"/>
      <c r="P22" s="44">
        <f>P21</f>
        <v>100835.03</v>
      </c>
      <c r="Q22" s="44">
        <f>Q21</f>
        <v>100835.03</v>
      </c>
      <c r="R22" s="34"/>
    </row>
    <row r="23" spans="1:18" ht="14.25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8"/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D22</f>
        <v>2000000</v>
      </c>
      <c r="E25" s="87"/>
      <c r="F25" s="89"/>
      <c r="G25" s="90"/>
      <c r="H25" s="91">
        <f>H21</f>
        <v>2000000</v>
      </c>
      <c r="I25" s="91"/>
      <c r="J25" s="91">
        <f t="shared" ref="J25:Q25" si="1">J21</f>
        <v>0</v>
      </c>
      <c r="K25" s="91"/>
      <c r="L25" s="91">
        <f t="shared" si="1"/>
        <v>2000000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100835.03</v>
      </c>
      <c r="Q25" s="91">
        <f t="shared" si="1"/>
        <v>100835.03</v>
      </c>
      <c r="R25" s="91">
        <f t="shared" ref="R25" si="2">R19</f>
        <v>0</v>
      </c>
    </row>
    <row r="26" spans="1:18" ht="15" thickBo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4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73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opLeftCell="F10" zoomScaleNormal="100" workbookViewId="0">
      <selection activeCell="N19" sqref="N19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4" t="s">
        <v>79</v>
      </c>
      <c r="B1" s="94"/>
      <c r="C1" s="94"/>
      <c r="D1" s="94"/>
      <c r="E1" s="94"/>
      <c r="F1" s="94"/>
      <c r="G1" s="94"/>
      <c r="H1" s="94"/>
      <c r="I1" s="94" t="str">
        <f>район!G3</f>
        <v>на 1 января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  <c r="S8" s="1"/>
      <c r="T8" s="1"/>
    </row>
    <row r="9" spans="1:20" ht="4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55" t="s">
        <v>14</v>
      </c>
      <c r="N9" s="55" t="s">
        <v>16</v>
      </c>
      <c r="O9" s="102"/>
      <c r="P9" s="102"/>
      <c r="Q9" s="102"/>
      <c r="R9" s="102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836000</v>
      </c>
      <c r="O16" s="70">
        <v>8699.89</v>
      </c>
      <c r="P16" s="70">
        <f>1834.24+108.5+9.77+1656.73+65.1+8.53+1834.24+108.5+8.99+1775.07+108.5+9.48+1834.24+130.2+1775.07+1834.24+105+9.63+1834.24+105+9.95+1618.56+4748.8+84.28+1656.73+5852+171.58+1488.77+5434+209.24+1507.85+5503.67+258.88</f>
        <v>43699.579999999994</v>
      </c>
      <c r="Q16" s="70">
        <f>108.5+8.99+1775.07+1834.24+130.2+1834.24+114.63</f>
        <v>5805.87</v>
      </c>
      <c r="R16" s="49">
        <f>O16+P16-Q16</f>
        <v>46593.599999999991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>N15+N16</f>
        <v>836000</v>
      </c>
      <c r="O17" s="44">
        <f t="shared" si="0"/>
        <v>8699.89</v>
      </c>
      <c r="P17" s="44">
        <f>P15+P16</f>
        <v>43699.579999999994</v>
      </c>
      <c r="Q17" s="44">
        <f t="shared" si="0"/>
        <v>5805.87</v>
      </c>
      <c r="R17" s="44">
        <f t="shared" si="0"/>
        <v>46593.599999999991</v>
      </c>
      <c r="S17" s="3"/>
      <c r="T17" s="3"/>
    </row>
    <row r="18" spans="1:20" ht="15">
      <c r="A18" s="97" t="s">
        <v>20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7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>N17</f>
        <v>836000</v>
      </c>
      <c r="O23" s="87">
        <f t="shared" si="1"/>
        <v>8699.89</v>
      </c>
      <c r="P23" s="87">
        <f>P17</f>
        <v>43699.579999999994</v>
      </c>
      <c r="Q23" s="87">
        <f t="shared" si="1"/>
        <v>5805.87</v>
      </c>
      <c r="R23" s="87">
        <f t="shared" si="1"/>
        <v>46593.599999999991</v>
      </c>
      <c r="S23" s="3"/>
      <c r="T23" s="3"/>
    </row>
    <row r="24" spans="1:20" ht="15" thickBo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71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73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zoomScaleNormal="100" workbookViewId="0">
      <selection activeCell="M18" sqref="M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15" t="s">
        <v>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63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  <c r="S8" s="1"/>
      <c r="T8" s="1"/>
    </row>
    <row r="9" spans="1:20" ht="4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55" t="s">
        <v>14</v>
      </c>
      <c r="N9" s="55" t="s">
        <v>16</v>
      </c>
      <c r="O9" s="102"/>
      <c r="P9" s="102"/>
      <c r="Q9" s="102"/>
      <c r="R9" s="102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140000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5917500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363841.79</v>
      </c>
      <c r="Q15" s="44">
        <f>Шала!Q19+Кривцы!Q18+Авдеево!Q23+Красноборский!Q23</f>
        <v>57853.119999999995</v>
      </c>
      <c r="R15" s="44">
        <f>Шала!R19+Кривцы!R18+Авдеево!R23+Красноборский!R23</f>
        <v>412217.17999999993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3"/>
      <c r="T17" s="3"/>
    </row>
    <row r="18" spans="1:20" ht="120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/>
      <c r="N18" s="28"/>
      <c r="O18" s="28"/>
      <c r="P18" s="48">
        <f>Город!P21</f>
        <v>100835.03</v>
      </c>
      <c r="Q18" s="48">
        <f>Город!Q21</f>
        <v>100835.03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100835.03</v>
      </c>
      <c r="Q19" s="44">
        <f t="shared" si="0"/>
        <v>100835.03</v>
      </c>
      <c r="R19" s="44">
        <f t="shared" si="0"/>
        <v>0</v>
      </c>
      <c r="S19" s="3"/>
      <c r="T19" s="3"/>
    </row>
    <row r="20" spans="1:20" ht="1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59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140000</v>
      </c>
      <c r="M22" s="87">
        <f t="shared" si="1"/>
        <v>6127500</v>
      </c>
      <c r="N22" s="87">
        <f t="shared" si="1"/>
        <v>5917500</v>
      </c>
      <c r="O22" s="87">
        <f t="shared" si="1"/>
        <v>106228.51000000001</v>
      </c>
      <c r="P22" s="87">
        <f t="shared" si="1"/>
        <v>464676.81999999995</v>
      </c>
      <c r="Q22" s="87">
        <f t="shared" si="1"/>
        <v>158688.15</v>
      </c>
      <c r="R22" s="87">
        <f t="shared" si="1"/>
        <v>412217.17999999993</v>
      </c>
      <c r="S22" s="3"/>
      <c r="T22" s="3"/>
    </row>
    <row r="23" spans="1:20" ht="15" thickBot="1">
      <c r="A23" s="112" t="s">
        <v>32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60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61</v>
      </c>
      <c r="B29" s="37"/>
      <c r="C29" s="37"/>
      <c r="D29" s="36" t="s">
        <v>73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O29" sqref="O2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1.7109375" customWidth="1"/>
    <col min="15" max="15" width="10.7109375" customWidth="1"/>
    <col min="16" max="16" width="12.5703125" customWidth="1"/>
    <col min="17" max="17" width="11.42578125" customWidth="1"/>
    <col min="18" max="18" width="11.28515625" customWidth="1"/>
  </cols>
  <sheetData>
    <row r="1" spans="1:18" ht="18.75">
      <c r="A1" s="115" t="s">
        <v>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7"/>
      <c r="F5" s="107"/>
      <c r="G5" s="107"/>
      <c r="H5" s="107"/>
      <c r="I5" s="107"/>
      <c r="J5" s="107"/>
      <c r="K5" s="107"/>
      <c r="L5" s="107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4" customHeight="1">
      <c r="A8" s="108" t="s">
        <v>1</v>
      </c>
      <c r="B8" s="101" t="s">
        <v>23</v>
      </c>
      <c r="C8" s="101" t="s">
        <v>11</v>
      </c>
      <c r="D8" s="101" t="s">
        <v>24</v>
      </c>
      <c r="E8" s="101" t="s">
        <v>25</v>
      </c>
      <c r="F8" s="101" t="s">
        <v>7</v>
      </c>
      <c r="G8" s="101" t="s">
        <v>0</v>
      </c>
      <c r="H8" s="101" t="s">
        <v>15</v>
      </c>
      <c r="I8" s="101" t="s">
        <v>8</v>
      </c>
      <c r="J8" s="101" t="s">
        <v>12</v>
      </c>
      <c r="K8" s="101" t="s">
        <v>9</v>
      </c>
      <c r="L8" s="101" t="s">
        <v>13</v>
      </c>
      <c r="M8" s="109" t="s">
        <v>22</v>
      </c>
      <c r="N8" s="110"/>
      <c r="O8" s="101" t="s">
        <v>4</v>
      </c>
      <c r="P8" s="101" t="s">
        <v>19</v>
      </c>
      <c r="Q8" s="101" t="s">
        <v>18</v>
      </c>
      <c r="R8" s="101" t="s">
        <v>17</v>
      </c>
    </row>
    <row r="9" spans="1:18" ht="4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6" t="s">
        <v>14</v>
      </c>
      <c r="N9" s="86" t="s">
        <v>16</v>
      </c>
      <c r="O9" s="102"/>
      <c r="P9" s="102"/>
      <c r="Q9" s="102"/>
      <c r="R9" s="102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3" t="s">
        <v>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27162000</v>
      </c>
      <c r="M15" s="44">
        <f>Шала!M19+Кривцы!M18+Авдеево!M23+Красноборский!M23+район!M25</f>
        <v>11084500</v>
      </c>
      <c r="N15" s="44">
        <f>Шала!N19+Кривцы!N18+Авдеево!N23+Красноборский!N23+район!N25</f>
        <v>5917500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780665.79</v>
      </c>
      <c r="Q15" s="44">
        <f>Шала!Q19+Кривцы!Q18+Авдеево!Q23+Красноборский!Q23+район!Q25</f>
        <v>474677.12</v>
      </c>
      <c r="R15" s="44">
        <f>Шала!R19+Кривцы!R18+Авдеево!R23+Красноборский!R23+район!R25</f>
        <v>412217.17999999993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1:18" ht="165">
      <c r="A18" s="33"/>
      <c r="B18" s="22" t="s">
        <v>57</v>
      </c>
      <c r="C18" s="23" t="s">
        <v>44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>
        <v>2000000</v>
      </c>
      <c r="M18" s="28">
        <f>H18+J18-L18</f>
        <v>0</v>
      </c>
      <c r="N18" s="28"/>
      <c r="O18" s="28"/>
      <c r="P18" s="48">
        <f>102316.67-1381.65</f>
        <v>100935.02</v>
      </c>
      <c r="Q18" s="48">
        <f>102316.67-1381.65</f>
        <v>100935.02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D18+район!D34</f>
        <v>97377000</v>
      </c>
      <c r="E19" s="44">
        <f>E18+район!E34</f>
        <v>264440</v>
      </c>
      <c r="F19" s="44">
        <f>F18+район!F34</f>
        <v>0</v>
      </c>
      <c r="G19" s="44">
        <f>G18+район!G34</f>
        <v>55.634</v>
      </c>
      <c r="H19" s="44">
        <f>H18+район!H34</f>
        <v>46657000</v>
      </c>
      <c r="I19" s="44">
        <f>I18+район!I34</f>
        <v>0</v>
      </c>
      <c r="J19" s="44">
        <f>J18+район!J34</f>
        <v>36377000</v>
      </c>
      <c r="K19" s="44">
        <f>K18+район!K34</f>
        <v>0</v>
      </c>
      <c r="L19" s="44">
        <f>L18+район!L34</f>
        <v>11657000</v>
      </c>
      <c r="M19" s="44">
        <f>M18+район!M34</f>
        <v>71377000</v>
      </c>
      <c r="N19" s="44">
        <f>N18+район!N34</f>
        <v>0</v>
      </c>
      <c r="O19" s="44">
        <f>O18+район!O34</f>
        <v>0</v>
      </c>
      <c r="P19" s="44">
        <f>P18+район!P34</f>
        <v>4140191.5899999994</v>
      </c>
      <c r="Q19" s="44">
        <f>Q18+район!Q34</f>
        <v>4140191.5899999994</v>
      </c>
      <c r="R19" s="44">
        <f>R18+район!R34</f>
        <v>0</v>
      </c>
    </row>
    <row r="20" spans="1:18" ht="14.2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59</v>
      </c>
      <c r="B22" s="22"/>
      <c r="C22" s="23"/>
      <c r="D22" s="44">
        <f>D15+D19</f>
        <v>104103000</v>
      </c>
      <c r="E22" s="44">
        <f t="shared" ref="E22:R22" si="0">E15+E19</f>
        <v>264440</v>
      </c>
      <c r="F22" s="44">
        <f t="shared" si="0"/>
        <v>0</v>
      </c>
      <c r="G22" s="44">
        <f t="shared" si="0"/>
        <v>55.634</v>
      </c>
      <c r="H22" s="44">
        <f t="shared" si="0"/>
        <v>84903500</v>
      </c>
      <c r="I22" s="44">
        <f t="shared" si="0"/>
        <v>0</v>
      </c>
      <c r="J22" s="44">
        <f t="shared" si="0"/>
        <v>36377000</v>
      </c>
      <c r="K22" s="44">
        <f t="shared" si="0"/>
        <v>0</v>
      </c>
      <c r="L22" s="44">
        <f t="shared" si="0"/>
        <v>38819000</v>
      </c>
      <c r="M22" s="87">
        <f t="shared" si="0"/>
        <v>82461500</v>
      </c>
      <c r="N22" s="44">
        <f t="shared" si="0"/>
        <v>5917500</v>
      </c>
      <c r="O22" s="44">
        <f t="shared" si="0"/>
        <v>106228.51000000001</v>
      </c>
      <c r="P22" s="44">
        <f t="shared" si="0"/>
        <v>4920857.379999999</v>
      </c>
      <c r="Q22" s="44">
        <f t="shared" si="0"/>
        <v>4614868.709999999</v>
      </c>
      <c r="R22" s="44">
        <f t="shared" si="0"/>
        <v>412217.17999999993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2020-01-28T13:14:50Z</cp:lastPrinted>
  <dcterms:created xsi:type="dcterms:W3CDTF">2006-06-05T06:40:26Z</dcterms:created>
  <dcterms:modified xsi:type="dcterms:W3CDTF">2020-02-18T15:03:48Z</dcterms:modified>
</cp:coreProperties>
</file>