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Авдеево" sheetId="6" r:id="rId5"/>
    <sheet name="СВОД" sheetId="7" r:id="rId6"/>
  </sheets>
  <calcPr calcId="125725"/>
</workbook>
</file>

<file path=xl/calcChain.xml><?xml version="1.0" encoding="utf-8"?>
<calcChain xmlns="http://schemas.openxmlformats.org/spreadsheetml/2006/main">
  <c r="P16" i="6"/>
  <c r="P18" i="5"/>
  <c r="P17"/>
  <c r="P16"/>
  <c r="P15"/>
  <c r="P17" i="4"/>
  <c r="P18" i="3"/>
  <c r="P16"/>
  <c r="P17"/>
  <c r="P15"/>
  <c r="L17" i="4" l="1"/>
  <c r="Q16" i="6" l="1"/>
  <c r="Q17" i="4"/>
  <c r="M45" i="2"/>
  <c r="L42" l="1"/>
  <c r="P32" l="1"/>
  <c r="P31"/>
  <c r="P28"/>
  <c r="Q43"/>
  <c r="P43"/>
  <c r="Q42"/>
  <c r="P42"/>
  <c r="Q28"/>
  <c r="Q23"/>
  <c r="Q32"/>
  <c r="Q31"/>
  <c r="Q22"/>
  <c r="Q20"/>
  <c r="Q19"/>
  <c r="O32"/>
  <c r="O31"/>
  <c r="O28"/>
  <c r="O23"/>
  <c r="P23"/>
  <c r="O22"/>
  <c r="P22"/>
  <c r="O20"/>
  <c r="P20"/>
  <c r="O19"/>
  <c r="P19"/>
  <c r="L43"/>
  <c r="L39"/>
  <c r="M37"/>
  <c r="M39" s="1"/>
  <c r="J39"/>
  <c r="J36"/>
  <c r="J35"/>
  <c r="J32"/>
  <c r="J28"/>
  <c r="J31"/>
  <c r="J23"/>
  <c r="J22"/>
  <c r="J19"/>
  <c r="J20"/>
  <c r="R37"/>
  <c r="Q39" l="1"/>
  <c r="P39"/>
  <c r="M43" l="1"/>
  <c r="M42"/>
  <c r="H39"/>
  <c r="Q45"/>
  <c r="P45"/>
  <c r="L45"/>
  <c r="D45"/>
  <c r="H45"/>
  <c r="Q18" i="4"/>
  <c r="O39" i="2" l="1"/>
  <c r="R36"/>
  <c r="M36" l="1"/>
  <c r="D39" l="1"/>
  <c r="R17" l="1"/>
  <c r="R43" l="1"/>
  <c r="J45"/>
  <c r="R42" l="1"/>
  <c r="R35" l="1"/>
  <c r="M35"/>
  <c r="M33" l="1"/>
  <c r="R33"/>
  <c r="R34"/>
  <c r="M16" i="5"/>
  <c r="M18"/>
  <c r="G15" i="7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5" i="5"/>
  <c r="J25"/>
  <c r="N25"/>
  <c r="D25"/>
  <c r="I26" i="3"/>
  <c r="J26"/>
  <c r="K26"/>
  <c r="D26"/>
  <c r="R16" i="5"/>
  <c r="R17"/>
  <c r="R18"/>
  <c r="R15"/>
  <c r="Q19"/>
  <c r="Q25" s="1"/>
  <c r="P19"/>
  <c r="P25" s="1"/>
  <c r="K19"/>
  <c r="K25" s="1"/>
  <c r="M17"/>
  <c r="M15"/>
  <c r="H19"/>
  <c r="H25" s="1"/>
  <c r="I19"/>
  <c r="J19"/>
  <c r="L19"/>
  <c r="L25" s="1"/>
  <c r="N19"/>
  <c r="O19"/>
  <c r="O25" s="1"/>
  <c r="D19"/>
  <c r="R19" l="1"/>
  <c r="R25" s="1"/>
  <c r="M17" i="6"/>
  <c r="M23" s="1"/>
  <c r="M19" i="5"/>
  <c r="M25" s="1"/>
  <c r="R17" i="4" l="1"/>
  <c r="R18" s="1"/>
  <c r="R24" s="1"/>
  <c r="Q24"/>
  <c r="P18"/>
  <c r="P24" s="1"/>
  <c r="L18"/>
  <c r="I18"/>
  <c r="J18"/>
  <c r="K18"/>
  <c r="N18"/>
  <c r="N24" s="1"/>
  <c r="O18"/>
  <c r="O24" s="1"/>
  <c r="H18"/>
  <c r="H24" s="1"/>
  <c r="D18"/>
  <c r="R16" i="3"/>
  <c r="R17"/>
  <c r="R18"/>
  <c r="R15"/>
  <c r="P19"/>
  <c r="H19"/>
  <c r="I19"/>
  <c r="J19"/>
  <c r="K19"/>
  <c r="L19"/>
  <c r="L26" s="1"/>
  <c r="N19"/>
  <c r="O19"/>
  <c r="Q19"/>
  <c r="Q15" i="7" s="1"/>
  <c r="M16" i="3"/>
  <c r="M17"/>
  <c r="M18"/>
  <c r="M15"/>
  <c r="G15"/>
  <c r="D19"/>
  <c r="I24" i="4" l="1"/>
  <c r="I15" i="7"/>
  <c r="J15"/>
  <c r="J24" i="4"/>
  <c r="D24"/>
  <c r="D15" i="7"/>
  <c r="K24" i="4"/>
  <c r="K15" i="7"/>
  <c r="O15"/>
  <c r="O26" i="3"/>
  <c r="H26"/>
  <c r="H15" i="7"/>
  <c r="N15"/>
  <c r="N26" i="3"/>
  <c r="M19"/>
  <c r="M26" s="1"/>
  <c r="P15" i="7"/>
  <c r="P26" i="3"/>
  <c r="Q26"/>
  <c r="R19"/>
  <c r="L24" i="4"/>
  <c r="L15" i="7"/>
  <c r="M17" i="4"/>
  <c r="M18" s="1"/>
  <c r="R15" i="7" l="1"/>
  <c r="R26" i="3"/>
  <c r="M24" i="4"/>
  <c r="M15" i="7"/>
  <c r="J48" i="2"/>
  <c r="L48"/>
  <c r="R45"/>
  <c r="R21" l="1"/>
  <c r="R26"/>
  <c r="R27"/>
  <c r="R28"/>
  <c r="R22"/>
  <c r="O48"/>
  <c r="N39"/>
  <c r="N48" s="1"/>
  <c r="M19"/>
  <c r="M20"/>
  <c r="M21"/>
  <c r="M22"/>
  <c r="M23"/>
  <c r="M24"/>
  <c r="M25"/>
  <c r="M26"/>
  <c r="M27"/>
  <c r="M28"/>
  <c r="M30"/>
  <c r="M31"/>
  <c r="M32"/>
  <c r="M34"/>
  <c r="M17"/>
  <c r="H48"/>
  <c r="D48"/>
  <c r="M48" l="1"/>
  <c r="Q48"/>
  <c r="R23"/>
  <c r="R20"/>
  <c r="R25"/>
  <c r="R32"/>
  <c r="R19"/>
  <c r="R24"/>
  <c r="R31"/>
  <c r="R30"/>
  <c r="P48"/>
  <c r="R39" l="1"/>
  <c r="R48" s="1"/>
</calcChain>
</file>

<file path=xl/sharedStrings.xml><?xml version="1.0" encoding="utf-8"?>
<sst xmlns="http://schemas.openxmlformats.org/spreadsheetml/2006/main" count="284" uniqueCount="92">
  <si>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</si>
  <si>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</si>
  <si>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</si>
  <si>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</si>
  <si>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</si>
  <si>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</si>
  <si>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</si>
  <si>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</si>
  <si>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</si>
  <si>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</si>
  <si>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</si>
  <si>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</si>
  <si>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</si>
  <si>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</si>
  <si>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</si>
  <si>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Исполнитель                                             /                                   /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</si>
  <si>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</si>
  <si>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</si>
  <si>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</si>
  <si>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</si>
  <si>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</si>
  <si>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</si>
  <si>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</si>
  <si>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</si>
  <si>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</si>
  <si>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</si>
  <si>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</si>
  <si>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</si>
  <si>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</si>
  <si>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</si>
  <si>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</si>
  <si>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</si>
  <si>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</si>
  <si>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</si>
  <si>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</si>
  <si>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</si>
  <si>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</si>
  <si>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</si>
  <si>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</si>
  <si>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</si>
  <si>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</si>
  <si>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</si>
  <si>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</si>
  <si>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Руководитель финансового управления                                           /  Л.В.Вавулинская   /</t>
  </si>
  <si>
    <t>Исполнитель                                             /  И.Д.Голованова    /</t>
  </si>
  <si>
    <t>Всего муниципальный долг</t>
  </si>
  <si>
    <t>Информация о долговых обяхательствах __________________________________________</t>
  </si>
  <si>
    <t>Итого муниципальный долг</t>
  </si>
  <si>
    <t>Глава Администрации муниципального образования                                                                              /                                   /</t>
  </si>
  <si>
    <t>Руководитель финансового управления                                           /                                   /</t>
  </si>
  <si>
    <t>СВОД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</si>
  <si>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</si>
  <si>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</si>
  <si>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</si>
  <si>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</si>
  <si>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</si>
  <si>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1 от 22.12.2015</t>
  </si>
  <si>
    <t>Договор №5 от 02.10.2016</t>
  </si>
  <si>
    <t>Договор №9 от 2510.2016</t>
  </si>
  <si>
    <t>Казна поселения</t>
  </si>
  <si>
    <t>Глава Администрации Пудожского муниципального района                                                                              / В.Н.Ересов   /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</si>
  <si>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</si>
  <si>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</si>
  <si>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Глава Администрации Пудожского муниципального района                                                                              /    В.Н.Ересов   /</t>
  </si>
  <si>
    <t>Глава Администрации Пудожского муниципального района                                                                        /   В.Н.Ересов 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</si>
  <si>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</si>
  <si>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</si>
  <si>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Глава Администрации муниципального образования                                                                              /  В.Н.Ересов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</si>
  <si>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</si>
  <si>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</si>
  <si>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</si>
  <si>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</si>
  <si>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</si>
  <si>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</si>
  <si>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</si>
  <si>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</si>
  <si>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Глава Администрации муниципального образования                                                                              /  В.Н.Ересов                                 /</t>
  </si>
  <si>
    <t>Исполнитель                                             /    И.Д.Голованова            /</t>
  </si>
  <si>
    <t>Договор  N13-2/17 от  11.08.2017</t>
  </si>
  <si>
    <t>Договор №3 -АПМР от 23.04.2015</t>
  </si>
  <si>
    <t>Договор №9 -АПМР от 17.06.2015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</si>
  <si>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</si>
  <si>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</si>
  <si>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</si>
  <si>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</si>
  <si>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</si>
  <si>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Согл.13-1/18 от  16.02.2018</t>
  </si>
  <si>
    <t>Информация о долговых обяхательствах  Пудожского муниципального района по состоянию на 1 апреля  2018года</t>
  </si>
  <si>
    <t>Информация о долговых обязательствах  Шальского сельского поселения на 1 мая 2018года</t>
  </si>
  <si>
    <t>Информация о долговых обязательствах  Кривецкого сельского поселения на 1 мая  2018года</t>
  </si>
  <si>
    <t>Информация о долговых обяхательствах Красноборского сельского поселения на 1 мая 2018года.</t>
  </si>
  <si>
    <t>Информация о долговых обяхательствах Авдеевского сельского поселения на 1  мая  2018года.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</si>
</sst>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1"/>
  <sheetViews>
    <sheetView tabSelected="1" view="pageBreakPreview" topLeftCell="A28" zoomScale="60" zoomScaleNormal="100" workbookViewId="0">
      <selection activeCell="L43" sqref="L43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15.2851562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4.7109375" style="1" customWidth="1"/>
    <col min="17" max="17" width="15.85546875" style="1" customWidth="1"/>
    <col min="18" max="18" width="13.85546875" style="1" customWidth="1"/>
    <col min="19" max="16384" width="9.140625" style="1"/>
  </cols>
  <sheetData>
    <row r="1" spans="1:18">
      <c r="Q1" s="91" t="s">
        <v>10</v>
      </c>
      <c r="R1" s="91"/>
    </row>
    <row r="2" spans="1:18" ht="26.25" customHeight="1">
      <c r="Q2" s="91"/>
      <c r="R2" s="91"/>
    </row>
    <row r="3" spans="1:18" ht="21.75" customHeight="1">
      <c r="A3" s="92" t="s">
        <v>87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93"/>
      <c r="F7" s="93"/>
      <c r="G7" s="93"/>
      <c r="H7" s="93"/>
      <c r="I7" s="93"/>
      <c r="J7" s="93"/>
      <c r="K7" s="93"/>
      <c r="L7" s="93"/>
      <c r="M7" s="9"/>
      <c r="N7" s="9"/>
    </row>
    <row r="8" spans="1:18" ht="5.25" customHeight="1"/>
    <row r="9" spans="1:18" ht="15" customHeight="1"/>
    <row r="10" spans="1:18" ht="36.75" customHeight="1">
      <c r="A10" s="94" t="s">
        <v>1</v>
      </c>
      <c r="B10" s="86" t="s">
        <v>24</v>
      </c>
      <c r="C10" s="86" t="s">
        <v>11</v>
      </c>
      <c r="D10" s="86" t="s">
        <v>25</v>
      </c>
      <c r="E10" s="86" t="s">
        <v>26</v>
      </c>
      <c r="F10" s="86" t="s">
        <v>7</v>
      </c>
      <c r="G10" s="86" t="s">
        <v>0</v>
      </c>
      <c r="H10" s="86" t="s">
        <v>16</v>
      </c>
      <c r="I10" s="86" t="s">
        <v>8</v>
      </c>
      <c r="J10" s="86" t="s">
        <v>12</v>
      </c>
      <c r="K10" s="86" t="s">
        <v>9</v>
      </c>
      <c r="L10" s="86" t="s">
        <v>13</v>
      </c>
      <c r="M10" s="95" t="s">
        <v>23</v>
      </c>
      <c r="N10" s="96"/>
      <c r="O10" s="86" t="s">
        <v>4</v>
      </c>
      <c r="P10" s="86" t="s">
        <v>20</v>
      </c>
      <c r="Q10" s="86" t="s">
        <v>19</v>
      </c>
      <c r="R10" s="86" t="s">
        <v>18</v>
      </c>
    </row>
    <row r="11" spans="1:18" s="13" customFormat="1" ht="94.5" customHeight="1">
      <c r="A11" s="94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40" t="s">
        <v>14</v>
      </c>
      <c r="N11" s="40" t="s">
        <v>17</v>
      </c>
      <c r="O11" s="87"/>
      <c r="P11" s="87"/>
      <c r="Q11" s="87"/>
      <c r="R11" s="87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88" t="s">
        <v>3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90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82" t="s">
        <v>5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4"/>
    </row>
    <row r="17" spans="1:18" s="3" customFormat="1" ht="43.5" customHeight="1">
      <c r="A17" s="81">
        <v>1</v>
      </c>
      <c r="B17" s="22" t="s">
        <v>27</v>
      </c>
      <c r="C17" s="23" t="s">
        <v>41</v>
      </c>
      <c r="D17" s="44">
        <v>5000000</v>
      </c>
      <c r="E17" s="45">
        <v>43814</v>
      </c>
      <c r="F17" s="46" t="s">
        <v>42</v>
      </c>
      <c r="G17" s="41">
        <v>2.75</v>
      </c>
      <c r="H17" s="28"/>
      <c r="I17" s="22"/>
      <c r="J17" s="41"/>
      <c r="K17" s="41"/>
      <c r="L17" s="41"/>
      <c r="M17" s="47">
        <f>H17+J17-L17</f>
        <v>0</v>
      </c>
      <c r="N17" s="49">
        <v>0</v>
      </c>
      <c r="O17" s="48">
        <v>-57.54</v>
      </c>
      <c r="P17" s="48"/>
      <c r="Q17" s="48">
        <v>-57.54</v>
      </c>
      <c r="R17" s="49">
        <f>O17+P17-Q17</f>
        <v>0</v>
      </c>
    </row>
    <row r="18" spans="1:18" s="3" customFormat="1" ht="23.25" hidden="1" customHeight="1">
      <c r="A18" s="41">
        <v>2</v>
      </c>
      <c r="B18" s="22"/>
      <c r="C18" s="23"/>
      <c r="D18" s="44"/>
      <c r="E18" s="45"/>
      <c r="F18" s="46"/>
      <c r="G18" s="41"/>
      <c r="H18" s="28"/>
      <c r="I18" s="22"/>
      <c r="J18" s="49"/>
      <c r="K18" s="41"/>
      <c r="L18" s="41"/>
      <c r="M18" s="47"/>
      <c r="N18" s="49"/>
      <c r="O18" s="48"/>
      <c r="P18" s="48"/>
      <c r="Q18" s="48"/>
      <c r="R18" s="49"/>
    </row>
    <row r="19" spans="1:18" s="3" customFormat="1" ht="42.75" customHeight="1">
      <c r="A19" s="41">
        <v>3</v>
      </c>
      <c r="B19" s="22" t="s">
        <v>28</v>
      </c>
      <c r="C19" s="23" t="s">
        <v>41</v>
      </c>
      <c r="D19" s="44">
        <v>10000000</v>
      </c>
      <c r="E19" s="45">
        <v>43271</v>
      </c>
      <c r="F19" s="46" t="s">
        <v>42</v>
      </c>
      <c r="G19" s="41">
        <v>2.75</v>
      </c>
      <c r="H19" s="28">
        <v>3328000</v>
      </c>
      <c r="I19" s="22"/>
      <c r="J19" s="49">
        <f>-1940400+-831600</f>
        <v>-2772000</v>
      </c>
      <c r="K19" s="41"/>
      <c r="L19" s="49">
        <v>556000</v>
      </c>
      <c r="M19" s="47">
        <f t="shared" ref="M19:M37" si="0">H19+J19-L19</f>
        <v>0</v>
      </c>
      <c r="N19" s="49">
        <v>0</v>
      </c>
      <c r="O19" s="48">
        <f>7559.76</f>
        <v>7559.76</v>
      </c>
      <c r="P19" s="48">
        <f>6946.79+287.27+2917.28</f>
        <v>10151.34</v>
      </c>
      <c r="Q19" s="48">
        <f>7559.76+287.27+6946.79+2917.28</f>
        <v>17711.099999999999</v>
      </c>
      <c r="R19" s="49">
        <f t="shared" ref="R19:R37" si="1">O19+P19-Q19</f>
        <v>0</v>
      </c>
    </row>
    <row r="20" spans="1:18" s="3" customFormat="1" ht="23.25" customHeight="1">
      <c r="A20" s="41">
        <v>4</v>
      </c>
      <c r="B20" s="22" t="s">
        <v>29</v>
      </c>
      <c r="C20" s="23" t="s">
        <v>41</v>
      </c>
      <c r="D20" s="44">
        <v>7000000</v>
      </c>
      <c r="E20" s="45">
        <v>43393</v>
      </c>
      <c r="F20" s="46" t="s">
        <v>42</v>
      </c>
      <c r="G20" s="41">
        <v>2.75</v>
      </c>
      <c r="H20" s="28">
        <v>4246000</v>
      </c>
      <c r="I20" s="22"/>
      <c r="J20" s="49">
        <f>-2675400+-1146600</f>
        <v>-3822000</v>
      </c>
      <c r="K20" s="41"/>
      <c r="L20" s="49">
        <v>424000</v>
      </c>
      <c r="M20" s="47">
        <f t="shared" si="0"/>
        <v>0</v>
      </c>
      <c r="N20" s="49">
        <v>0</v>
      </c>
      <c r="O20" s="48">
        <f>9645.05</f>
        <v>9645.0499999999993</v>
      </c>
      <c r="P20" s="48">
        <f>9044.75+4022.31</f>
        <v>13067.06</v>
      </c>
      <c r="Q20" s="48">
        <f>9645.05+9044.75+4022.31</f>
        <v>22712.11</v>
      </c>
      <c r="R20" s="49">
        <f t="shared" si="1"/>
        <v>0</v>
      </c>
    </row>
    <row r="21" spans="1:18" s="3" customFormat="1" ht="27" hidden="1" customHeight="1">
      <c r="A21" s="41">
        <v>5</v>
      </c>
      <c r="B21" s="22" t="s">
        <v>30</v>
      </c>
      <c r="C21" s="23" t="s">
        <v>41</v>
      </c>
      <c r="D21" s="44"/>
      <c r="E21" s="45"/>
      <c r="F21" s="41"/>
      <c r="G21" s="41">
        <v>2.75</v>
      </c>
      <c r="H21" s="28"/>
      <c r="I21" s="22" t="s">
        <v>30</v>
      </c>
      <c r="J21" s="41"/>
      <c r="K21" s="41"/>
      <c r="L21" s="41"/>
      <c r="M21" s="47">
        <f t="shared" si="0"/>
        <v>0</v>
      </c>
      <c r="N21" s="49">
        <v>0</v>
      </c>
      <c r="O21" s="48"/>
      <c r="P21" s="48"/>
      <c r="Q21" s="48"/>
      <c r="R21" s="49">
        <f t="shared" si="1"/>
        <v>0</v>
      </c>
    </row>
    <row r="22" spans="1:18" s="3" customFormat="1" ht="27" customHeight="1">
      <c r="A22" s="41">
        <v>5</v>
      </c>
      <c r="B22" s="22" t="s">
        <v>31</v>
      </c>
      <c r="C22" s="23" t="s">
        <v>41</v>
      </c>
      <c r="D22" s="44">
        <v>3000000</v>
      </c>
      <c r="E22" s="45">
        <v>43449</v>
      </c>
      <c r="F22" s="46" t="s">
        <v>42</v>
      </c>
      <c r="G22" s="41">
        <v>2.75</v>
      </c>
      <c r="H22" s="28">
        <v>1500000</v>
      </c>
      <c r="I22" s="22"/>
      <c r="J22" s="49">
        <f>-1050000+-450000</f>
        <v>-1500000</v>
      </c>
      <c r="K22" s="41"/>
      <c r="L22" s="41"/>
      <c r="M22" s="47">
        <f t="shared" si="0"/>
        <v>0</v>
      </c>
      <c r="N22" s="49">
        <v>0</v>
      </c>
      <c r="O22" s="48">
        <f>3407.34</f>
        <v>3407.34</v>
      </c>
      <c r="P22" s="48">
        <f>3290.67+1578.62</f>
        <v>4869.29</v>
      </c>
      <c r="Q22" s="48">
        <f>3407.34+3290.67+1578.62</f>
        <v>8276.630000000001</v>
      </c>
      <c r="R22" s="49">
        <f t="shared" si="1"/>
        <v>0</v>
      </c>
    </row>
    <row r="23" spans="1:18" s="3" customFormat="1" ht="27" customHeight="1">
      <c r="A23" s="41">
        <v>6</v>
      </c>
      <c r="B23" s="22" t="s">
        <v>32</v>
      </c>
      <c r="C23" s="23" t="s">
        <v>41</v>
      </c>
      <c r="D23" s="44">
        <v>8900000</v>
      </c>
      <c r="E23" s="45">
        <v>43455</v>
      </c>
      <c r="F23" s="46" t="s">
        <v>42</v>
      </c>
      <c r="G23" s="41">
        <v>2.75</v>
      </c>
      <c r="H23" s="28">
        <v>8900000</v>
      </c>
      <c r="I23" s="22"/>
      <c r="J23" s="41">
        <f>-5711300+-2447700</f>
        <v>-8159000</v>
      </c>
      <c r="K23" s="41"/>
      <c r="L23" s="49">
        <v>741000</v>
      </c>
      <c r="M23" s="47">
        <f t="shared" si="0"/>
        <v>0</v>
      </c>
      <c r="N23" s="49">
        <v>0</v>
      </c>
      <c r="O23" s="48">
        <f>20216.9</f>
        <v>20216.900000000001</v>
      </c>
      <c r="P23" s="48">
        <f>19052.7+8586.62</f>
        <v>27639.32</v>
      </c>
      <c r="Q23" s="48">
        <f>20216.9+19052.7+8586.62</f>
        <v>47856.220000000008</v>
      </c>
      <c r="R23" s="49">
        <f t="shared" si="1"/>
        <v>0</v>
      </c>
    </row>
    <row r="24" spans="1:18" s="3" customFormat="1" ht="28.5" customHeight="1">
      <c r="A24" s="41">
        <v>7</v>
      </c>
      <c r="B24" s="22" t="s">
        <v>33</v>
      </c>
      <c r="C24" s="23" t="s">
        <v>41</v>
      </c>
      <c r="D24" s="44">
        <v>4000000</v>
      </c>
      <c r="E24" s="45">
        <v>42729</v>
      </c>
      <c r="F24" s="46" t="s">
        <v>42</v>
      </c>
      <c r="G24" s="41">
        <v>2.75</v>
      </c>
      <c r="H24" s="28"/>
      <c r="I24" s="22"/>
      <c r="J24" s="49"/>
      <c r="K24" s="41"/>
      <c r="L24" s="41"/>
      <c r="M24" s="47">
        <f t="shared" si="0"/>
        <v>0</v>
      </c>
      <c r="N24" s="49">
        <v>0</v>
      </c>
      <c r="O24" s="48">
        <v>0</v>
      </c>
      <c r="P24" s="48">
        <v>0</v>
      </c>
      <c r="Q24" s="48">
        <v>0</v>
      </c>
      <c r="R24" s="49">
        <f t="shared" si="1"/>
        <v>0</v>
      </c>
    </row>
    <row r="25" spans="1:18" s="3" customFormat="1" ht="27" customHeight="1">
      <c r="A25" s="41">
        <v>8</v>
      </c>
      <c r="B25" s="22" t="s">
        <v>34</v>
      </c>
      <c r="C25" s="23" t="s">
        <v>41</v>
      </c>
      <c r="D25" s="44">
        <v>5000000</v>
      </c>
      <c r="E25" s="45">
        <v>43605</v>
      </c>
      <c r="F25" s="46" t="s">
        <v>42</v>
      </c>
      <c r="G25" s="41">
        <v>2.75</v>
      </c>
      <c r="H25" s="28"/>
      <c r="I25" s="22"/>
      <c r="J25" s="41"/>
      <c r="K25" s="41"/>
      <c r="L25" s="41"/>
      <c r="M25" s="47">
        <f t="shared" si="0"/>
        <v>0</v>
      </c>
      <c r="N25" s="49">
        <v>0</v>
      </c>
      <c r="O25" s="48">
        <v>7819.45</v>
      </c>
      <c r="P25" s="48">
        <v>0</v>
      </c>
      <c r="Q25" s="48">
        <v>7819.45</v>
      </c>
      <c r="R25" s="49">
        <f t="shared" si="1"/>
        <v>0</v>
      </c>
    </row>
    <row r="26" spans="1:18" s="3" customFormat="1" ht="27" customHeight="1">
      <c r="A26" s="41">
        <v>9</v>
      </c>
      <c r="B26" s="22" t="s">
        <v>35</v>
      </c>
      <c r="C26" s="23" t="s">
        <v>41</v>
      </c>
      <c r="D26" s="44">
        <v>350000</v>
      </c>
      <c r="E26" s="45">
        <v>43814</v>
      </c>
      <c r="F26" s="46" t="s">
        <v>42</v>
      </c>
      <c r="G26" s="41">
        <v>2.75</v>
      </c>
      <c r="H26" s="28"/>
      <c r="I26" s="22"/>
      <c r="J26" s="41"/>
      <c r="K26" s="41"/>
      <c r="L26" s="41"/>
      <c r="M26" s="47">
        <f t="shared" si="0"/>
        <v>0</v>
      </c>
      <c r="N26" s="49">
        <v>0</v>
      </c>
      <c r="O26" s="48">
        <v>-9.59</v>
      </c>
      <c r="P26" s="48">
        <v>0</v>
      </c>
      <c r="Q26" s="48">
        <v>-9.59</v>
      </c>
      <c r="R26" s="49">
        <f t="shared" si="1"/>
        <v>0</v>
      </c>
    </row>
    <row r="27" spans="1:18" s="3" customFormat="1" ht="27" customHeight="1">
      <c r="A27" s="41">
        <v>10</v>
      </c>
      <c r="B27" s="22" t="s">
        <v>36</v>
      </c>
      <c r="C27" s="23" t="s">
        <v>41</v>
      </c>
      <c r="D27" s="44">
        <v>1554000</v>
      </c>
      <c r="E27" s="45">
        <v>43814</v>
      </c>
      <c r="F27" s="46" t="s">
        <v>42</v>
      </c>
      <c r="G27" s="41">
        <v>2.75</v>
      </c>
      <c r="H27" s="28"/>
      <c r="I27" s="22"/>
      <c r="J27" s="41"/>
      <c r="K27" s="41"/>
      <c r="L27" s="41"/>
      <c r="M27" s="47">
        <f t="shared" si="0"/>
        <v>0</v>
      </c>
      <c r="N27" s="49">
        <v>0</v>
      </c>
      <c r="O27" s="48">
        <v>-42.57</v>
      </c>
      <c r="P27" s="48">
        <v>0</v>
      </c>
      <c r="Q27" s="48">
        <v>-42.57</v>
      </c>
      <c r="R27" s="49">
        <f t="shared" si="1"/>
        <v>0</v>
      </c>
    </row>
    <row r="28" spans="1:18" s="3" customFormat="1" ht="27" customHeight="1">
      <c r="A28" s="41">
        <v>11</v>
      </c>
      <c r="B28" s="22" t="s">
        <v>37</v>
      </c>
      <c r="C28" s="23" t="s">
        <v>41</v>
      </c>
      <c r="D28" s="44">
        <v>17160000</v>
      </c>
      <c r="E28" s="45">
        <v>43671</v>
      </c>
      <c r="F28" s="46" t="s">
        <v>42</v>
      </c>
      <c r="G28" s="41">
        <v>2.75</v>
      </c>
      <c r="H28" s="28">
        <v>15810000</v>
      </c>
      <c r="I28" s="22"/>
      <c r="J28" s="49">
        <f>-3465000+-1485000</f>
        <v>-4950000</v>
      </c>
      <c r="K28" s="41"/>
      <c r="L28" s="49">
        <v>50000</v>
      </c>
      <c r="M28" s="47">
        <f t="shared" si="0"/>
        <v>10810000</v>
      </c>
      <c r="N28" s="49">
        <v>0</v>
      </c>
      <c r="O28" s="48">
        <f>35913.39</f>
        <v>35913.39</v>
      </c>
      <c r="P28" s="48">
        <f>34651.83+26211.34+22805.25</f>
        <v>83668.42</v>
      </c>
      <c r="Q28" s="48">
        <f>35913.39+34651.83+26211.34+6933.35</f>
        <v>103709.91</v>
      </c>
      <c r="R28" s="49">
        <f t="shared" si="1"/>
        <v>15871.899999999994</v>
      </c>
    </row>
    <row r="29" spans="1:18" s="3" customFormat="1" ht="28.5" hidden="1" customHeight="1">
      <c r="A29" s="41">
        <v>12</v>
      </c>
      <c r="B29" s="22"/>
      <c r="C29" s="23"/>
      <c r="D29" s="44"/>
      <c r="E29" s="45"/>
      <c r="F29" s="46"/>
      <c r="G29" s="41"/>
      <c r="H29" s="28"/>
      <c r="I29" s="22"/>
      <c r="J29" s="41"/>
      <c r="K29" s="41"/>
      <c r="L29" s="41"/>
      <c r="M29" s="47"/>
      <c r="N29" s="49"/>
      <c r="O29" s="48"/>
      <c r="P29" s="48"/>
      <c r="Q29" s="48"/>
      <c r="R29" s="49"/>
    </row>
    <row r="30" spans="1:18" s="3" customFormat="1" ht="27.75" customHeight="1">
      <c r="A30" s="41">
        <v>13</v>
      </c>
      <c r="B30" s="22" t="s">
        <v>38</v>
      </c>
      <c r="C30" s="23" t="s">
        <v>41</v>
      </c>
      <c r="D30" s="44">
        <v>3575000</v>
      </c>
      <c r="E30" s="45">
        <v>43733</v>
      </c>
      <c r="F30" s="46" t="s">
        <v>42</v>
      </c>
      <c r="G30" s="41">
        <v>2.75</v>
      </c>
      <c r="H30" s="28"/>
      <c r="I30" s="22"/>
      <c r="J30" s="41"/>
      <c r="K30" s="41"/>
      <c r="L30" s="41"/>
      <c r="M30" s="47">
        <f t="shared" si="0"/>
        <v>0</v>
      </c>
      <c r="N30" s="49">
        <v>0</v>
      </c>
      <c r="O30" s="48">
        <v>5590.91</v>
      </c>
      <c r="P30" s="48">
        <v>0</v>
      </c>
      <c r="Q30" s="48">
        <v>5590.91</v>
      </c>
      <c r="R30" s="49">
        <f t="shared" si="1"/>
        <v>0</v>
      </c>
    </row>
    <row r="31" spans="1:18" s="3" customFormat="1" ht="29.25" customHeight="1">
      <c r="A31" s="41">
        <v>14</v>
      </c>
      <c r="B31" s="22" t="s">
        <v>39</v>
      </c>
      <c r="C31" s="23" t="s">
        <v>41</v>
      </c>
      <c r="D31" s="44">
        <v>15000000</v>
      </c>
      <c r="E31" s="45">
        <v>43818</v>
      </c>
      <c r="F31" s="46" t="s">
        <v>42</v>
      </c>
      <c r="G31" s="41">
        <v>2.75</v>
      </c>
      <c r="H31" s="28">
        <v>10000000</v>
      </c>
      <c r="I31" s="22"/>
      <c r="J31" s="49">
        <f>-3465000+-1485000</f>
        <v>-4950000</v>
      </c>
      <c r="K31" s="41"/>
      <c r="L31" s="49">
        <v>50000</v>
      </c>
      <c r="M31" s="47">
        <f t="shared" si="0"/>
        <v>5000000</v>
      </c>
      <c r="N31" s="49">
        <v>0</v>
      </c>
      <c r="O31" s="48">
        <f>22715.62</f>
        <v>22715.62</v>
      </c>
      <c r="P31" s="48">
        <f>21905.97+14923.54+10548.22</f>
        <v>47377.73</v>
      </c>
      <c r="Q31" s="48">
        <f>22715.62+21905.97+14923.54</f>
        <v>59545.13</v>
      </c>
      <c r="R31" s="49">
        <f t="shared" si="1"/>
        <v>10548.220000000008</v>
      </c>
    </row>
    <row r="32" spans="1:18" s="3" customFormat="1" ht="32.25" customHeight="1">
      <c r="A32" s="41">
        <v>15</v>
      </c>
      <c r="B32" s="22" t="s">
        <v>40</v>
      </c>
      <c r="C32" s="23" t="s">
        <v>41</v>
      </c>
      <c r="D32" s="44">
        <v>5000000</v>
      </c>
      <c r="E32" s="45">
        <v>43822</v>
      </c>
      <c r="F32" s="46" t="s">
        <v>42</v>
      </c>
      <c r="G32" s="41">
        <v>2.75</v>
      </c>
      <c r="H32" s="28">
        <v>3632000</v>
      </c>
      <c r="I32" s="22"/>
      <c r="J32" s="49">
        <f>-1167600+-500400</f>
        <v>-1668000</v>
      </c>
      <c r="K32" s="41"/>
      <c r="L32" s="49">
        <v>152000</v>
      </c>
      <c r="M32" s="47">
        <f t="shared" si="0"/>
        <v>1812000</v>
      </c>
      <c r="N32" s="49">
        <v>0</v>
      </c>
      <c r="O32" s="48">
        <f>8250.32</f>
        <v>8250.32</v>
      </c>
      <c r="P32" s="48">
        <f>7871.01+5275.81+3822.67</f>
        <v>16969.489999999998</v>
      </c>
      <c r="Q32" s="48">
        <f>8250.32+7871.01+5275.81</f>
        <v>21397.14</v>
      </c>
      <c r="R32" s="49">
        <f t="shared" si="1"/>
        <v>3822.6699999999983</v>
      </c>
    </row>
    <row r="33" spans="1:18" s="3" customFormat="1" ht="32.25" customHeight="1">
      <c r="A33" s="72">
        <v>16</v>
      </c>
      <c r="B33" s="22" t="s">
        <v>72</v>
      </c>
      <c r="C33" s="23" t="s">
        <v>41</v>
      </c>
      <c r="D33" s="44" t="s">
        <v>74</v>
      </c>
      <c r="E33" s="45">
        <v>44545</v>
      </c>
      <c r="F33" s="46" t="s">
        <v>42</v>
      </c>
      <c r="G33" s="72">
        <v>2.75</v>
      </c>
      <c r="H33" s="28"/>
      <c r="I33" s="22"/>
      <c r="J33" s="49"/>
      <c r="K33" s="72"/>
      <c r="L33" s="72"/>
      <c r="M33" s="47">
        <f t="shared" si="0"/>
        <v>0</v>
      </c>
      <c r="N33" s="49">
        <v>0</v>
      </c>
      <c r="O33" s="48">
        <v>-614.79</v>
      </c>
      <c r="P33" s="48">
        <v>0</v>
      </c>
      <c r="Q33" s="48">
        <v>-614.79</v>
      </c>
      <c r="R33" s="49">
        <f t="shared" si="1"/>
        <v>0</v>
      </c>
    </row>
    <row r="34" spans="1:18" s="3" customFormat="1" ht="21.75" customHeight="1">
      <c r="A34" s="73">
        <v>17</v>
      </c>
      <c r="B34" s="22" t="s">
        <v>73</v>
      </c>
      <c r="C34" s="23" t="s">
        <v>41</v>
      </c>
      <c r="D34" s="44">
        <v>15000000</v>
      </c>
      <c r="E34" s="62">
        <v>43981</v>
      </c>
      <c r="F34" s="46" t="s">
        <v>42</v>
      </c>
      <c r="G34" s="48">
        <v>2.75</v>
      </c>
      <c r="H34" s="28">
        <v>7747000</v>
      </c>
      <c r="I34" s="74"/>
      <c r="J34" s="48"/>
      <c r="K34" s="28"/>
      <c r="L34" s="28"/>
      <c r="M34" s="47">
        <f t="shared" si="0"/>
        <v>7747000</v>
      </c>
      <c r="N34" s="28">
        <v>0</v>
      </c>
      <c r="O34" s="28">
        <v>-6093.56</v>
      </c>
      <c r="P34" s="48">
        <v>0</v>
      </c>
      <c r="Q34" s="48">
        <v>-6093.56</v>
      </c>
      <c r="R34" s="49">
        <f t="shared" si="1"/>
        <v>0</v>
      </c>
    </row>
    <row r="35" spans="1:18" s="3" customFormat="1" ht="21.75" customHeight="1">
      <c r="A35" s="73">
        <v>18</v>
      </c>
      <c r="B35" s="22" t="s">
        <v>78</v>
      </c>
      <c r="C35" s="23" t="s">
        <v>41</v>
      </c>
      <c r="D35" s="44">
        <v>1800000</v>
      </c>
      <c r="E35" s="62">
        <v>44185</v>
      </c>
      <c r="F35" s="46" t="s">
        <v>42</v>
      </c>
      <c r="G35" s="48">
        <v>2.75</v>
      </c>
      <c r="H35" s="28">
        <v>1800000</v>
      </c>
      <c r="I35" s="74"/>
      <c r="J35" s="48">
        <f>-462000+-198000</f>
        <v>-660000</v>
      </c>
      <c r="K35" s="28"/>
      <c r="L35" s="28"/>
      <c r="M35" s="47">
        <f t="shared" si="0"/>
        <v>1140000</v>
      </c>
      <c r="N35" s="28"/>
      <c r="O35" s="28">
        <v>-115.3</v>
      </c>
      <c r="P35" s="48">
        <v>0</v>
      </c>
      <c r="Q35" s="48">
        <v>-115.3</v>
      </c>
      <c r="R35" s="49">
        <f t="shared" si="1"/>
        <v>0</v>
      </c>
    </row>
    <row r="36" spans="1:18" s="3" customFormat="1" ht="29.25" customHeight="1">
      <c r="A36" s="73">
        <v>19</v>
      </c>
      <c r="B36" s="22" t="s">
        <v>85</v>
      </c>
      <c r="C36" s="23" t="s">
        <v>41</v>
      </c>
      <c r="D36" s="44">
        <v>8200000</v>
      </c>
      <c r="E36" s="62">
        <v>44189</v>
      </c>
      <c r="F36" s="46" t="s">
        <v>42</v>
      </c>
      <c r="G36" s="48">
        <v>2.75</v>
      </c>
      <c r="H36" s="28">
        <v>8200000</v>
      </c>
      <c r="I36" s="74"/>
      <c r="J36" s="48">
        <f>-1911000+-819000</f>
        <v>-2730000</v>
      </c>
      <c r="K36" s="28"/>
      <c r="L36" s="28"/>
      <c r="M36" s="47">
        <f t="shared" si="0"/>
        <v>5470000</v>
      </c>
      <c r="N36" s="28"/>
      <c r="O36" s="28">
        <v>3481.74</v>
      </c>
      <c r="P36" s="48"/>
      <c r="Q36" s="28">
        <v>3481.74</v>
      </c>
      <c r="R36" s="49">
        <f t="shared" si="1"/>
        <v>0</v>
      </c>
    </row>
    <row r="37" spans="1:18" s="3" customFormat="1" ht="29.25" customHeight="1">
      <c r="A37" s="73">
        <v>20</v>
      </c>
      <c r="B37" s="22" t="s">
        <v>86</v>
      </c>
      <c r="C37" s="23" t="s">
        <v>41</v>
      </c>
      <c r="D37" s="44" t="s">
        <v>74</v>
      </c>
      <c r="E37" s="62">
        <v>43147</v>
      </c>
      <c r="F37" s="46" t="s">
        <v>42</v>
      </c>
      <c r="G37" s="48">
        <v>0.1</v>
      </c>
      <c r="H37" s="28"/>
      <c r="I37" s="74"/>
      <c r="J37" s="48">
        <v>31211000</v>
      </c>
      <c r="K37" s="28"/>
      <c r="L37" s="28">
        <v>1041000</v>
      </c>
      <c r="M37" s="47">
        <f t="shared" si="0"/>
        <v>30170000</v>
      </c>
      <c r="N37" s="28"/>
      <c r="O37" s="28"/>
      <c r="P37" s="48"/>
      <c r="Q37" s="28"/>
      <c r="R37" s="49">
        <f t="shared" si="1"/>
        <v>0</v>
      </c>
    </row>
    <row r="38" spans="1:18" s="3" customFormat="1" ht="29.25" customHeight="1">
      <c r="A38" s="73"/>
      <c r="B38" s="22"/>
      <c r="C38" s="23"/>
      <c r="D38" s="44"/>
      <c r="E38" s="62"/>
      <c r="F38" s="46"/>
      <c r="G38" s="48"/>
      <c r="H38" s="28"/>
      <c r="I38" s="74"/>
      <c r="J38" s="48"/>
      <c r="K38" s="28"/>
      <c r="L38" s="28"/>
      <c r="M38" s="47"/>
      <c r="N38" s="28"/>
      <c r="O38" s="28"/>
      <c r="P38" s="48"/>
      <c r="Q38" s="28"/>
      <c r="R38" s="49"/>
    </row>
    <row r="39" spans="1:18" s="3" customFormat="1" ht="18.75" customHeight="1">
      <c r="A39" s="43">
        <v>21</v>
      </c>
      <c r="B39" s="22"/>
      <c r="C39" s="23"/>
      <c r="D39" s="44">
        <f>D17+D18+D19+D20+D22+D23+D24+D25+D26+D27+D28+D29+D30+D31+D32+D34+D35+D36</f>
        <v>110539000</v>
      </c>
      <c r="E39" s="26"/>
      <c r="F39" s="46"/>
      <c r="G39" s="28"/>
      <c r="H39" s="28">
        <f>H17+H18+H19+H20+H22+H23+H24+H25+H26+H27+H28+H29+H30+H31+H32+H33+H34+H35+H36</f>
        <v>65163000</v>
      </c>
      <c r="I39" s="74"/>
      <c r="J39" s="48">
        <f>J17+J18+J19+J20+J22+J23+J24+J25+J26+J27+J28+J29+J30+J31+J32+J33+J34+J35+J36+J37+J38</f>
        <v>0</v>
      </c>
      <c r="K39" s="48"/>
      <c r="L39" s="48">
        <f>L17+L18+L19+L20+L22+L23+L24+L25+L26+L27+L28+L29+L30+L31+L32+L33+L34+L35+L37</f>
        <v>3014000</v>
      </c>
      <c r="M39" s="28">
        <f>M17+M18+M19+M20+M22+M23+M24+M25+M26+M27+M28+M29+M30+M31+M32+M33+M34+M35+M36+M37+M38</f>
        <v>62149000</v>
      </c>
      <c r="N39" s="28">
        <f>N17+N18+N19+N20+N22+N23+N24+N25+N26+N27+N28+N29+N30+N31+N32</f>
        <v>0</v>
      </c>
      <c r="O39" s="48">
        <f>O17+O18+O19+O20+O22+O23+O24+O25+O26+O27+O28+O29+O30+O31+O32+O34+O35+O36+O33</f>
        <v>117667.13000000002</v>
      </c>
      <c r="P39" s="48">
        <f>P17+P18+P19+P20+P22+P23+P24+P25+P26+P27+P28+P29+P30+P31+P32+P33+P34+P35+P36+P37+P38</f>
        <v>203742.65</v>
      </c>
      <c r="Q39" s="48">
        <f>Q17+Q18+Q19+Q20+Q22+Q23+Q24+Q25+Q26+Q27+Q28+Q29+Q30+Q31+Q32+Q33+Q34+Q35+Q36+Q37+Q38</f>
        <v>291166.99000000005</v>
      </c>
      <c r="R39" s="48">
        <f>R17+R18+R19+R20+R22+R23+R24+R25+R26+R27+R28+R29+R30+R31+R32++R33+R34+R35+R36+R37+R38</f>
        <v>30242.79</v>
      </c>
    </row>
    <row r="40" spans="1:18" s="3" customFormat="1" ht="18.75" customHeight="1">
      <c r="A40" s="75"/>
      <c r="B40" s="23"/>
      <c r="C40" s="23"/>
      <c r="D40" s="76"/>
      <c r="E40" s="25"/>
      <c r="F40" s="25"/>
      <c r="G40" s="27"/>
      <c r="H40" s="27"/>
      <c r="I40" s="77"/>
      <c r="J40" s="56"/>
      <c r="K40" s="27"/>
      <c r="L40" s="27"/>
      <c r="M40" s="27"/>
      <c r="N40" s="27"/>
      <c r="O40" s="56"/>
      <c r="P40" s="56"/>
      <c r="Q40" s="56"/>
      <c r="R40" s="56"/>
    </row>
    <row r="41" spans="1:18" s="3" customFormat="1" ht="31.5" customHeight="1">
      <c r="A41" s="82" t="s">
        <v>21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4"/>
    </row>
    <row r="42" spans="1:18" s="3" customFormat="1" ht="58.5" customHeight="1">
      <c r="A42" s="78">
        <v>1</v>
      </c>
      <c r="B42" s="22" t="s">
        <v>82</v>
      </c>
      <c r="C42" s="23" t="s">
        <v>81</v>
      </c>
      <c r="D42" s="44">
        <v>15000000</v>
      </c>
      <c r="E42" s="45">
        <v>43751</v>
      </c>
      <c r="F42" s="46" t="s">
        <v>42</v>
      </c>
      <c r="G42" s="79">
        <v>10.183999999999999</v>
      </c>
      <c r="H42" s="48">
        <v>14380000</v>
      </c>
      <c r="I42" s="56"/>
      <c r="J42" s="60"/>
      <c r="K42" s="28"/>
      <c r="L42" s="57">
        <f>620000+620000+620000</f>
        <v>1860000</v>
      </c>
      <c r="M42" s="49">
        <f>H42-L42</f>
        <v>12520000</v>
      </c>
      <c r="N42" s="49"/>
      <c r="O42" s="49"/>
      <c r="P42" s="48">
        <f>122994.82+103865.64+110366.66</f>
        <v>337227.12</v>
      </c>
      <c r="Q42" s="48">
        <f>122994.82+103865.64+110366.66</f>
        <v>337227.12</v>
      </c>
      <c r="R42" s="49">
        <f t="shared" ref="R42:R45" si="2">O42+P42-Q42</f>
        <v>0</v>
      </c>
    </row>
    <row r="43" spans="1:18" s="3" customFormat="1" ht="49.5" customHeight="1">
      <c r="A43" s="78">
        <v>2</v>
      </c>
      <c r="B43" s="22" t="s">
        <v>83</v>
      </c>
      <c r="C43" s="23" t="s">
        <v>84</v>
      </c>
      <c r="D43" s="44">
        <v>9000000</v>
      </c>
      <c r="E43" s="45">
        <v>43764</v>
      </c>
      <c r="F43" s="46" t="s">
        <v>42</v>
      </c>
      <c r="G43" s="79">
        <v>13.2</v>
      </c>
      <c r="H43" s="48">
        <v>9000000</v>
      </c>
      <c r="I43" s="56"/>
      <c r="J43" s="60"/>
      <c r="K43" s="80"/>
      <c r="L43" s="57">
        <f>375000+375000+375000</f>
        <v>1125000</v>
      </c>
      <c r="M43" s="49">
        <f>H43-L43</f>
        <v>7875000</v>
      </c>
      <c r="N43" s="49"/>
      <c r="O43" s="49"/>
      <c r="P43" s="48">
        <f>99813.7+84489.04+92490.41</f>
        <v>276793.15000000002</v>
      </c>
      <c r="Q43" s="48">
        <f>99813.7+84489.04+92490.41</f>
        <v>276793.15000000002</v>
      </c>
      <c r="R43" s="49">
        <f t="shared" si="2"/>
        <v>0</v>
      </c>
    </row>
    <row r="44" spans="1:18" s="3" customFormat="1" ht="49.5" customHeight="1">
      <c r="A44" s="78">
        <v>3</v>
      </c>
      <c r="B44" s="22"/>
      <c r="C44" s="23"/>
      <c r="D44" s="44"/>
      <c r="E44" s="45"/>
      <c r="F44" s="46"/>
      <c r="G44" s="79"/>
      <c r="H44" s="48"/>
      <c r="I44" s="56"/>
      <c r="J44" s="60"/>
      <c r="K44" s="80"/>
      <c r="L44" s="57"/>
      <c r="M44" s="49"/>
      <c r="N44" s="49"/>
      <c r="O44" s="49"/>
      <c r="P44" s="48"/>
      <c r="Q44" s="48"/>
      <c r="R44" s="49"/>
    </row>
    <row r="45" spans="1:18" s="3" customFormat="1" ht="18.75" customHeight="1">
      <c r="A45" s="35" t="s">
        <v>2</v>
      </c>
      <c r="B45" s="22"/>
      <c r="C45" s="23"/>
      <c r="D45" s="44">
        <f>D42+D43</f>
        <v>24000000</v>
      </c>
      <c r="E45" s="44"/>
      <c r="F45" s="44"/>
      <c r="G45" s="44"/>
      <c r="H45" s="44">
        <f>H42+H43</f>
        <v>23380000</v>
      </c>
      <c r="I45" s="44"/>
      <c r="J45" s="44">
        <f>J42+J43</f>
        <v>0</v>
      </c>
      <c r="K45" s="61"/>
      <c r="L45" s="44">
        <f>L43+L42</f>
        <v>2985000</v>
      </c>
      <c r="M45" s="44">
        <f>M42+M43+M44</f>
        <v>20395000</v>
      </c>
      <c r="N45" s="44"/>
      <c r="O45" s="44"/>
      <c r="P45" s="44">
        <f>P42+P43</f>
        <v>614020.27</v>
      </c>
      <c r="Q45" s="44">
        <f>Q42+Q43</f>
        <v>614020.27</v>
      </c>
      <c r="R45" s="49">
        <f t="shared" si="2"/>
        <v>0</v>
      </c>
    </row>
    <row r="46" spans="1:18" s="3" customFormat="1" ht="0.75" customHeight="1">
      <c r="A46" s="82" t="s">
        <v>22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4"/>
    </row>
    <row r="47" spans="1:18" s="3" customFormat="1" ht="8.25" hidden="1" customHeight="1">
      <c r="A47" s="33"/>
      <c r="B47" s="22"/>
      <c r="C47" s="23"/>
      <c r="D47" s="24"/>
      <c r="E47" s="25"/>
      <c r="F47" s="26"/>
      <c r="G47" s="28"/>
      <c r="H47" s="27"/>
      <c r="I47" s="28"/>
      <c r="J47" s="28"/>
      <c r="K47" s="28"/>
      <c r="L47" s="29"/>
      <c r="M47" s="28"/>
      <c r="N47" s="28"/>
      <c r="O47" s="28"/>
      <c r="P47" s="28"/>
      <c r="Q47" s="28"/>
      <c r="R47" s="34"/>
    </row>
    <row r="48" spans="1:18" s="3" customFormat="1" ht="18.75" customHeight="1">
      <c r="A48" s="35" t="s">
        <v>45</v>
      </c>
      <c r="B48" s="22"/>
      <c r="C48" s="23"/>
      <c r="D48" s="44">
        <f>D39+D45</f>
        <v>134539000</v>
      </c>
      <c r="E48" s="44"/>
      <c r="F48" s="44"/>
      <c r="G48" s="44"/>
      <c r="H48" s="44">
        <f>H39+H45</f>
        <v>88543000</v>
      </c>
      <c r="I48" s="44"/>
      <c r="J48" s="44">
        <f>J39+J45</f>
        <v>0</v>
      </c>
      <c r="K48" s="44"/>
      <c r="L48" s="44">
        <f t="shared" ref="L48:R48" si="3">L39+L45</f>
        <v>5999000</v>
      </c>
      <c r="M48" s="44">
        <f t="shared" si="3"/>
        <v>82544000</v>
      </c>
      <c r="N48" s="44">
        <f t="shared" si="3"/>
        <v>0</v>
      </c>
      <c r="O48" s="44">
        <f t="shared" si="3"/>
        <v>117667.13000000002</v>
      </c>
      <c r="P48" s="44">
        <f t="shared" si="3"/>
        <v>817762.92</v>
      </c>
      <c r="Q48" s="44">
        <f t="shared" si="3"/>
        <v>905187.26</v>
      </c>
      <c r="R48" s="44">
        <f t="shared" si="3"/>
        <v>30242.79</v>
      </c>
    </row>
    <row r="49" spans="1:18" s="19" customFormat="1" ht="33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</row>
    <row r="50" spans="1:18" ht="10.5" customHeight="1">
      <c r="A50" s="14"/>
      <c r="B50" s="15"/>
      <c r="C50" s="15"/>
      <c r="D50" s="16"/>
      <c r="E50" s="18"/>
      <c r="F50" s="18"/>
      <c r="G50" s="20"/>
      <c r="H50" s="20"/>
      <c r="I50" s="21"/>
      <c r="J50" s="21"/>
      <c r="K50" s="21"/>
      <c r="L50" s="21"/>
      <c r="M50" s="20"/>
      <c r="N50" s="20"/>
      <c r="O50" s="20"/>
      <c r="P50" s="20"/>
      <c r="Q50" s="20"/>
      <c r="R50" s="20"/>
    </row>
    <row r="51" spans="1:18">
      <c r="A51" s="36" t="s">
        <v>63</v>
      </c>
      <c r="B51" s="37"/>
      <c r="C51" s="37"/>
      <c r="D51" s="38"/>
      <c r="E51" s="39"/>
      <c r="F51" s="39"/>
      <c r="H51" s="36"/>
      <c r="I51" s="36"/>
    </row>
    <row r="53" spans="1:18">
      <c r="A53" s="36" t="s">
        <v>43</v>
      </c>
      <c r="B53" s="37"/>
      <c r="C53" s="37"/>
      <c r="D53" s="38"/>
      <c r="E53" s="39"/>
      <c r="F53" s="39"/>
      <c r="H53" s="36"/>
      <c r="I53" s="36"/>
    </row>
    <row r="55" spans="1:18">
      <c r="A55" s="36" t="s">
        <v>44</v>
      </c>
      <c r="B55" s="37"/>
      <c r="C55" s="37"/>
      <c r="D55" s="38"/>
      <c r="E55" s="39"/>
      <c r="F55" s="39"/>
      <c r="H55" s="36"/>
      <c r="I55" s="36"/>
    </row>
    <row r="59" spans="1:18">
      <c r="A59" s="36"/>
      <c r="B59" s="37"/>
      <c r="C59" s="37"/>
      <c r="D59" s="38"/>
      <c r="E59" s="39"/>
      <c r="F59" s="39"/>
      <c r="H59" s="36"/>
      <c r="I59" s="36"/>
    </row>
    <row r="70" spans="2:2" ht="16.5" customHeight="1"/>
    <row r="71" spans="2:2" ht="30" customHeight="1">
      <c r="B71" s="17"/>
    </row>
  </sheetData>
  <mergeCells count="25">
    <mergeCell ref="Q1:R2"/>
    <mergeCell ref="A3:R3"/>
    <mergeCell ref="E7:L7"/>
    <mergeCell ref="A10:A11"/>
    <mergeCell ref="I10:I11"/>
    <mergeCell ref="J10:J11"/>
    <mergeCell ref="K10:K11"/>
    <mergeCell ref="L10:L11"/>
    <mergeCell ref="M10:N10"/>
    <mergeCell ref="A46:R46"/>
    <mergeCell ref="A49:R49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41:R41"/>
    <mergeCell ref="G10:G11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50" orientation="landscape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4" zoomScale="60" zoomScaleNormal="100" workbookViewId="0">
      <selection activeCell="P19" sqref="P19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92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3"/>
      <c r="F5" s="93"/>
      <c r="G5" s="93"/>
      <c r="H5" s="93"/>
      <c r="I5" s="93"/>
      <c r="J5" s="93"/>
      <c r="K5" s="93"/>
      <c r="L5" s="9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4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95" t="s">
        <v>23</v>
      </c>
      <c r="N8" s="96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33.75">
      <c r="A9" s="94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88" t="s">
        <v>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2" t="s">
        <v>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4"/>
      <c r="S14" s="3"/>
      <c r="T14" s="3"/>
    </row>
    <row r="15" spans="1:20" ht="105">
      <c r="A15" s="41">
        <v>1</v>
      </c>
      <c r="B15" s="22" t="s">
        <v>51</v>
      </c>
      <c r="C15" s="22" t="s">
        <v>55</v>
      </c>
      <c r="D15" s="44">
        <v>800000</v>
      </c>
      <c r="E15" s="62">
        <v>42819</v>
      </c>
      <c r="F15" s="26" t="s">
        <v>59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1189.08</v>
      </c>
      <c r="P15" s="48">
        <f>1156.13+6.87+28.05+949.32+4.73+12.75+1051.03+4.98+25.5+983.22+5.08+20.54</f>
        <v>4248.2</v>
      </c>
      <c r="Q15" s="48"/>
      <c r="R15" s="49">
        <f>O15+P15-Q15</f>
        <v>5437.28</v>
      </c>
      <c r="S15" s="3"/>
      <c r="T15" s="3"/>
    </row>
    <row r="16" spans="1:20" ht="105">
      <c r="A16" s="41">
        <v>2</v>
      </c>
      <c r="B16" s="22" t="s">
        <v>52</v>
      </c>
      <c r="C16" s="22" t="s">
        <v>55</v>
      </c>
      <c r="D16" s="44">
        <v>1500000</v>
      </c>
      <c r="E16" s="62">
        <v>43459</v>
      </c>
      <c r="F16" s="26" t="s">
        <v>59</v>
      </c>
      <c r="G16" s="48">
        <v>2.75</v>
      </c>
      <c r="H16" s="28">
        <v>1356500</v>
      </c>
      <c r="I16" s="41"/>
      <c r="J16" s="41"/>
      <c r="K16" s="41"/>
      <c r="L16" s="41"/>
      <c r="M16" s="49">
        <f t="shared" ref="M16:M18" si="0">H16+J16-L16</f>
        <v>1356500</v>
      </c>
      <c r="N16" s="41">
        <v>1000000</v>
      </c>
      <c r="O16" s="48">
        <v>3232.56</v>
      </c>
      <c r="P16" s="48">
        <f>3168.26+59.4+18.67+2601.51+27+12.96+2880.24+54+13.66+2694.42+43.5+17.91</f>
        <v>11591.53</v>
      </c>
      <c r="Q16" s="48"/>
      <c r="R16" s="49">
        <f t="shared" ref="R16:R18" si="1">O16+P16-Q16</f>
        <v>14824.09</v>
      </c>
      <c r="S16" s="3"/>
      <c r="T16" s="3"/>
    </row>
    <row r="17" spans="1:20" ht="105">
      <c r="A17" s="41">
        <v>3</v>
      </c>
      <c r="B17" s="22" t="s">
        <v>53</v>
      </c>
      <c r="C17" s="22" t="s">
        <v>55</v>
      </c>
      <c r="D17" s="44">
        <v>1750000</v>
      </c>
      <c r="E17" s="62">
        <v>43671</v>
      </c>
      <c r="F17" s="26" t="s">
        <v>59</v>
      </c>
      <c r="G17" s="48">
        <v>2.75</v>
      </c>
      <c r="H17" s="28">
        <v>1745000</v>
      </c>
      <c r="I17" s="41"/>
      <c r="J17" s="41"/>
      <c r="K17" s="41"/>
      <c r="L17" s="41"/>
      <c r="M17" s="49">
        <f t="shared" si="0"/>
        <v>1745000</v>
      </c>
      <c r="N17" s="41">
        <v>360000</v>
      </c>
      <c r="O17" s="48">
        <v>3431.43</v>
      </c>
      <c r="P17" s="48">
        <f>4075.65+8.25+19.82+3346.58+3.75+16.67+3705.14+7.5+17.57+3466.1+6.04+17.91</f>
        <v>14690.980000000001</v>
      </c>
      <c r="Q17" s="48"/>
      <c r="R17" s="49">
        <f t="shared" si="1"/>
        <v>18122.41</v>
      </c>
      <c r="S17" s="3"/>
      <c r="T17" s="3"/>
    </row>
    <row r="18" spans="1:20" ht="105">
      <c r="A18" s="41">
        <v>4</v>
      </c>
      <c r="B18" s="22" t="s">
        <v>54</v>
      </c>
      <c r="C18" s="22" t="s">
        <v>55</v>
      </c>
      <c r="D18" s="44">
        <v>1420000</v>
      </c>
      <c r="E18" s="62">
        <v>43824</v>
      </c>
      <c r="F18" s="26" t="s">
        <v>59</v>
      </c>
      <c r="G18" s="48">
        <v>2.75</v>
      </c>
      <c r="H18" s="28">
        <v>1415000</v>
      </c>
      <c r="I18" s="41"/>
      <c r="J18" s="41"/>
      <c r="K18" s="41"/>
      <c r="L18" s="41"/>
      <c r="M18" s="49">
        <f t="shared" si="0"/>
        <v>1415000</v>
      </c>
      <c r="N18" s="41"/>
      <c r="O18" s="48">
        <v>3316.44</v>
      </c>
      <c r="P18" s="48">
        <f>3304.9+19.73+2713.7+13.52+3004.45+14.25+2810.62+9.69</f>
        <v>11890.859999999999</v>
      </c>
      <c r="Q18" s="48"/>
      <c r="R18" s="49">
        <f t="shared" si="1"/>
        <v>15207.3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2">H15+H16+H17+H18</f>
        <v>5011500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5011500</v>
      </c>
      <c r="N19" s="44">
        <f t="shared" si="2"/>
        <v>1855000</v>
      </c>
      <c r="O19" s="44">
        <f t="shared" si="2"/>
        <v>11169.51</v>
      </c>
      <c r="P19" s="44">
        <f t="shared" si="2"/>
        <v>42421.57</v>
      </c>
      <c r="Q19" s="44">
        <f t="shared" si="2"/>
        <v>0</v>
      </c>
      <c r="R19" s="44">
        <f t="shared" si="2"/>
        <v>53591.08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97" t="s">
        <v>21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97" t="s">
        <v>22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45</v>
      </c>
      <c r="B26" s="22"/>
      <c r="C26" s="23"/>
      <c r="D26" s="44">
        <f>D19</f>
        <v>5470000</v>
      </c>
      <c r="E26" s="25"/>
      <c r="F26" s="26"/>
      <c r="G26" s="28"/>
      <c r="H26" s="27">
        <f>H19</f>
        <v>5011500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5011500</v>
      </c>
      <c r="N26" s="27">
        <f t="shared" si="3"/>
        <v>1855000</v>
      </c>
      <c r="O26" s="27">
        <f t="shared" si="3"/>
        <v>11169.51</v>
      </c>
      <c r="P26" s="27">
        <f t="shared" si="3"/>
        <v>42421.57</v>
      </c>
      <c r="Q26" s="27">
        <f t="shared" si="3"/>
        <v>0</v>
      </c>
      <c r="R26" s="27">
        <f t="shared" si="3"/>
        <v>53591.08</v>
      </c>
      <c r="S26" s="3"/>
      <c r="T26" s="3"/>
    </row>
    <row r="27" spans="1:20" ht="34.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64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65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66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P18" sqref="P18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92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3"/>
      <c r="F5" s="93"/>
      <c r="G5" s="93"/>
      <c r="H5" s="93"/>
      <c r="I5" s="93"/>
      <c r="J5" s="93"/>
      <c r="K5" s="93"/>
      <c r="L5" s="9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4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95" t="s">
        <v>23</v>
      </c>
      <c r="N8" s="96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78.75">
      <c r="A9" s="94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88" t="s">
        <v>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2" t="s">
        <v>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4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2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75">
      <c r="A17" s="63">
        <v>1</v>
      </c>
      <c r="B17" s="22" t="s">
        <v>56</v>
      </c>
      <c r="C17" s="22" t="s">
        <v>55</v>
      </c>
      <c r="D17" s="44">
        <v>700000</v>
      </c>
      <c r="E17" s="62">
        <v>43459</v>
      </c>
      <c r="F17" s="26" t="s">
        <v>59</v>
      </c>
      <c r="G17" s="48">
        <v>2.75</v>
      </c>
      <c r="H17" s="28">
        <v>220000</v>
      </c>
      <c r="I17" s="28"/>
      <c r="J17" s="28"/>
      <c r="K17" s="28"/>
      <c r="L17" s="28">
        <f>40000+20000</f>
        <v>60000</v>
      </c>
      <c r="M17" s="47">
        <f>H17+J17-L17</f>
        <v>160000</v>
      </c>
      <c r="N17" s="28"/>
      <c r="O17" s="48">
        <v>1157.71</v>
      </c>
      <c r="P17" s="48">
        <f>513.84+55+6.51+419.18+15+1.99+357.53+292.65</f>
        <v>1661.6999999999998</v>
      </c>
      <c r="Q17" s="48">
        <f>1794.57+374.66+357.53</f>
        <v>2526.7600000000002</v>
      </c>
      <c r="R17" s="49">
        <f>O17+P17-Q17</f>
        <v>292.64999999999964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700000</v>
      </c>
      <c r="E18" s="25"/>
      <c r="F18" s="26"/>
      <c r="G18" s="28"/>
      <c r="H18" s="27">
        <f>H16+H17</f>
        <v>220000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60000</v>
      </c>
      <c r="M18" s="27">
        <f t="shared" si="0"/>
        <v>160000</v>
      </c>
      <c r="N18" s="27">
        <f t="shared" si="0"/>
        <v>0</v>
      </c>
      <c r="O18" s="56">
        <f t="shared" si="0"/>
        <v>1157.71</v>
      </c>
      <c r="P18" s="56">
        <f t="shared" si="0"/>
        <v>1661.6999999999998</v>
      </c>
      <c r="Q18" s="56">
        <f>Q16+Q17</f>
        <v>2526.7600000000002</v>
      </c>
      <c r="R18" s="56">
        <f t="shared" si="0"/>
        <v>292.64999999999964</v>
      </c>
      <c r="S18" s="3"/>
      <c r="T18" s="3"/>
    </row>
    <row r="19" spans="1:20" ht="15">
      <c r="A19" s="82" t="s">
        <v>21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4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82" t="s">
        <v>22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45</v>
      </c>
      <c r="B24" s="22"/>
      <c r="C24" s="23"/>
      <c r="D24" s="44">
        <f>D18</f>
        <v>700000</v>
      </c>
      <c r="E24" s="25"/>
      <c r="F24" s="26"/>
      <c r="G24" s="28"/>
      <c r="H24" s="27">
        <f>H18</f>
        <v>220000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60000</v>
      </c>
      <c r="M24" s="27">
        <f t="shared" si="1"/>
        <v>160000</v>
      </c>
      <c r="N24" s="27">
        <f t="shared" si="1"/>
        <v>0</v>
      </c>
      <c r="O24" s="56">
        <f t="shared" si="1"/>
        <v>1157.71</v>
      </c>
      <c r="P24" s="56">
        <f t="shared" si="1"/>
        <v>1661.6999999999998</v>
      </c>
      <c r="Q24" s="56">
        <f t="shared" si="1"/>
        <v>2526.7600000000002</v>
      </c>
      <c r="R24" s="56">
        <f t="shared" si="1"/>
        <v>292.64999999999964</v>
      </c>
      <c r="S24" s="3"/>
      <c r="T24" s="3"/>
    </row>
    <row r="25" spans="1:20" ht="15" thickBot="1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76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75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77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topLeftCell="A11" zoomScale="60" zoomScaleNormal="100" workbookViewId="0">
      <selection activeCell="P19" sqref="P19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92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3"/>
      <c r="F5" s="93"/>
      <c r="G5" s="93"/>
      <c r="H5" s="93"/>
      <c r="I5" s="93"/>
      <c r="J5" s="93"/>
      <c r="K5" s="93"/>
      <c r="L5" s="9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4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95" t="s">
        <v>23</v>
      </c>
      <c r="N8" s="96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78.75">
      <c r="A9" s="94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88" t="s">
        <v>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2" t="s">
        <v>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4"/>
      <c r="S14" s="3"/>
      <c r="T14" s="3"/>
    </row>
    <row r="15" spans="1:20" ht="131.25">
      <c r="A15" s="58">
        <v>1</v>
      </c>
      <c r="B15" s="64" t="s">
        <v>79</v>
      </c>
      <c r="C15" s="66" t="s">
        <v>55</v>
      </c>
      <c r="D15" s="67">
        <v>780000</v>
      </c>
      <c r="E15" s="68">
        <v>43258</v>
      </c>
      <c r="F15" s="69" t="s">
        <v>59</v>
      </c>
      <c r="G15" s="41">
        <v>2.75</v>
      </c>
      <c r="H15" s="70">
        <v>31842</v>
      </c>
      <c r="I15" s="41"/>
      <c r="J15" s="41"/>
      <c r="K15" s="70"/>
      <c r="L15" s="70"/>
      <c r="M15" s="47">
        <f>H15+J15-L15</f>
        <v>31842</v>
      </c>
      <c r="N15" s="41"/>
      <c r="O15" s="71">
        <v>305.92</v>
      </c>
      <c r="P15" s="71">
        <f>74.37+1.77+53.82+61.07+42.81+0.33+67.61+42.81+0.35+67.61+0.33+40.77</f>
        <v>453.65000000000003</v>
      </c>
      <c r="Q15" s="71">
        <v>0.35</v>
      </c>
      <c r="R15" s="49">
        <f>O15+P15-Q15</f>
        <v>759.22</v>
      </c>
      <c r="S15" s="3"/>
      <c r="T15" s="3"/>
    </row>
    <row r="16" spans="1:20" ht="131.25">
      <c r="A16" s="58">
        <v>2</v>
      </c>
      <c r="B16" s="64" t="s">
        <v>80</v>
      </c>
      <c r="C16" s="66" t="s">
        <v>55</v>
      </c>
      <c r="D16" s="67">
        <v>500000</v>
      </c>
      <c r="E16" s="68">
        <v>43276</v>
      </c>
      <c r="F16" s="69" t="s">
        <v>59</v>
      </c>
      <c r="G16" s="41">
        <v>2.75</v>
      </c>
      <c r="H16" s="70">
        <v>74149</v>
      </c>
      <c r="I16" s="41"/>
      <c r="J16" s="41"/>
      <c r="K16" s="70"/>
      <c r="L16" s="70"/>
      <c r="M16" s="47">
        <f t="shared" ref="M16:M18" si="0">H16+J16-L16</f>
        <v>74149</v>
      </c>
      <c r="N16" s="41"/>
      <c r="O16" s="71">
        <v>532.34</v>
      </c>
      <c r="P16" s="71">
        <f>173.18+37.46+3.07+142.2+6.38+0.96+157.44+12.77+0.64+147.28+10.29+0.71</f>
        <v>692.37999999999988</v>
      </c>
      <c r="Q16" s="71">
        <v>225.69</v>
      </c>
      <c r="R16" s="49">
        <f t="shared" ref="R16:R18" si="1">O16+P16-Q16</f>
        <v>999.02999999999975</v>
      </c>
      <c r="S16" s="3"/>
      <c r="T16" s="3"/>
    </row>
    <row r="17" spans="1:20" ht="131.25">
      <c r="A17" s="58">
        <v>3</v>
      </c>
      <c r="B17" s="64" t="s">
        <v>57</v>
      </c>
      <c r="C17" s="66" t="s">
        <v>55</v>
      </c>
      <c r="D17" s="67">
        <v>204000</v>
      </c>
      <c r="E17" s="68">
        <v>43758</v>
      </c>
      <c r="F17" s="69" t="s">
        <v>59</v>
      </c>
      <c r="G17" s="41">
        <v>2.75</v>
      </c>
      <c r="H17" s="70">
        <v>204000</v>
      </c>
      <c r="I17" s="41"/>
      <c r="J17" s="41"/>
      <c r="K17" s="70"/>
      <c r="L17" s="70">
        <v>0</v>
      </c>
      <c r="M17" s="47">
        <f t="shared" si="0"/>
        <v>204000</v>
      </c>
      <c r="N17" s="41"/>
      <c r="O17" s="71">
        <v>1433.75</v>
      </c>
      <c r="P17" s="71">
        <f>476.47+8.28+391.23+1.95+433.15+2.05+405.21+2.09</f>
        <v>1720.4299999999998</v>
      </c>
      <c r="Q17" s="71">
        <v>435.2</v>
      </c>
      <c r="R17" s="49">
        <f t="shared" si="1"/>
        <v>2718.98</v>
      </c>
      <c r="S17" s="3"/>
      <c r="T17" s="3"/>
    </row>
    <row r="18" spans="1:20" ht="131.25">
      <c r="A18" s="65">
        <v>4</v>
      </c>
      <c r="B18" s="64" t="s">
        <v>58</v>
      </c>
      <c r="C18" s="66" t="s">
        <v>55</v>
      </c>
      <c r="D18" s="67">
        <v>216000</v>
      </c>
      <c r="E18" s="68">
        <v>43758</v>
      </c>
      <c r="F18" s="69" t="s">
        <v>59</v>
      </c>
      <c r="G18" s="41">
        <v>2.75</v>
      </c>
      <c r="H18" s="70">
        <v>216000</v>
      </c>
      <c r="I18" s="28"/>
      <c r="J18" s="28"/>
      <c r="K18" s="70"/>
      <c r="L18" s="70">
        <v>0</v>
      </c>
      <c r="M18" s="47">
        <f t="shared" si="0"/>
        <v>216000</v>
      </c>
      <c r="N18" s="28"/>
      <c r="O18" s="71">
        <v>1518.08</v>
      </c>
      <c r="P18" s="71">
        <f>504.49+8.77+414.25+2.06+458.63+2.17+429.04+2.22</f>
        <v>1821.6299999999999</v>
      </c>
      <c r="Q18" s="71">
        <v>460.8</v>
      </c>
      <c r="R18" s="49">
        <f t="shared" si="1"/>
        <v>2878.91</v>
      </c>
      <c r="S18" s="3"/>
      <c r="T18" s="3"/>
    </row>
    <row r="19" spans="1:20" ht="15">
      <c r="A19" s="35" t="s">
        <v>2</v>
      </c>
      <c r="B19" s="22"/>
      <c r="C19" s="23"/>
      <c r="D19" s="44">
        <f>D15+D16+D17+D18</f>
        <v>1700000</v>
      </c>
      <c r="E19" s="44"/>
      <c r="F19" s="44"/>
      <c r="G19" s="44"/>
      <c r="H19" s="44">
        <f t="shared" ref="H19:R19" si="2">H15+H16+H17+H18</f>
        <v>525991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525991</v>
      </c>
      <c r="N19" s="44">
        <f t="shared" si="2"/>
        <v>0</v>
      </c>
      <c r="O19" s="44">
        <f t="shared" si="2"/>
        <v>3790.09</v>
      </c>
      <c r="P19" s="44">
        <f t="shared" si="2"/>
        <v>4688.09</v>
      </c>
      <c r="Q19" s="44">
        <f t="shared" si="2"/>
        <v>1122.04</v>
      </c>
      <c r="R19" s="44">
        <f t="shared" si="2"/>
        <v>7356.1399999999994</v>
      </c>
      <c r="S19" s="3"/>
      <c r="T19" s="3"/>
    </row>
    <row r="20" spans="1:20" ht="15">
      <c r="A20" s="82" t="s">
        <v>21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4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82" t="s">
        <v>22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45</v>
      </c>
      <c r="B25" s="22"/>
      <c r="C25" s="23"/>
      <c r="D25" s="44">
        <f>D19</f>
        <v>1700000</v>
      </c>
      <c r="E25" s="44"/>
      <c r="F25" s="26"/>
      <c r="G25" s="28"/>
      <c r="H25" s="27">
        <f>H19</f>
        <v>525991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0</v>
      </c>
      <c r="M25" s="27">
        <f t="shared" si="3"/>
        <v>525991</v>
      </c>
      <c r="N25" s="27">
        <f t="shared" si="3"/>
        <v>0</v>
      </c>
      <c r="O25" s="27">
        <f t="shared" si="3"/>
        <v>3790.09</v>
      </c>
      <c r="P25" s="27">
        <f t="shared" si="3"/>
        <v>4688.09</v>
      </c>
      <c r="Q25" s="27">
        <f t="shared" si="3"/>
        <v>1122.04</v>
      </c>
      <c r="R25" s="27">
        <f t="shared" si="3"/>
        <v>7356.1399999999994</v>
      </c>
      <c r="S25" s="3"/>
      <c r="T25" s="3"/>
    </row>
    <row r="26" spans="1:20" ht="15" thickBot="1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00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60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61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62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92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3"/>
      <c r="F5" s="93"/>
      <c r="G5" s="93"/>
      <c r="H5" s="93"/>
      <c r="I5" s="93"/>
      <c r="J5" s="93"/>
      <c r="K5" s="93"/>
      <c r="L5" s="9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4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95" t="s">
        <v>23</v>
      </c>
      <c r="N8" s="96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78.75">
      <c r="A9" s="94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88" t="s">
        <v>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2" t="s">
        <v>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4"/>
      <c r="S14" s="3"/>
      <c r="T14" s="3"/>
    </row>
    <row r="15" spans="1:20" ht="19.5">
      <c r="A15" s="41"/>
      <c r="B15" s="64"/>
      <c r="C15" s="64"/>
      <c r="D15" s="67"/>
      <c r="E15" s="68"/>
      <c r="F15" s="59"/>
      <c r="G15" s="41"/>
      <c r="H15" s="70"/>
      <c r="I15" s="41"/>
      <c r="J15" s="41"/>
      <c r="K15" s="41"/>
      <c r="L15" s="70"/>
      <c r="M15" s="47"/>
      <c r="N15" s="41"/>
      <c r="O15" s="71"/>
      <c r="P15" s="71"/>
      <c r="Q15" s="71"/>
      <c r="R15" s="49"/>
      <c r="S15" s="3"/>
      <c r="T15" s="3"/>
    </row>
    <row r="16" spans="1:20" ht="150">
      <c r="A16" s="63">
        <v>2</v>
      </c>
      <c r="B16" s="64" t="s">
        <v>70</v>
      </c>
      <c r="C16" s="64" t="s">
        <v>55</v>
      </c>
      <c r="D16" s="67">
        <v>836000</v>
      </c>
      <c r="E16" s="68">
        <v>43758</v>
      </c>
      <c r="F16" s="59" t="s">
        <v>71</v>
      </c>
      <c r="G16" s="41">
        <v>2.75</v>
      </c>
      <c r="H16" s="70">
        <v>836000</v>
      </c>
      <c r="I16" s="28"/>
      <c r="J16" s="28"/>
      <c r="K16" s="28"/>
      <c r="L16" s="70"/>
      <c r="M16" s="47">
        <f>H16+J16-L16</f>
        <v>836000</v>
      </c>
      <c r="N16" s="28"/>
      <c r="O16" s="71">
        <v>1963.49</v>
      </c>
      <c r="P16" s="71">
        <f>1952.58+11.34+1603.29+7.99+1775.07+1660.55</f>
        <v>7010.82</v>
      </c>
      <c r="Q16" s="71">
        <f>5538.69+1775.07</f>
        <v>7313.7599999999993</v>
      </c>
      <c r="R16" s="49">
        <f>O16+P16-Q16</f>
        <v>1660.5500000000002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1963.49</v>
      </c>
      <c r="P17" s="44">
        <f t="shared" si="0"/>
        <v>7010.82</v>
      </c>
      <c r="Q17" s="44">
        <f t="shared" si="0"/>
        <v>7313.7599999999993</v>
      </c>
      <c r="R17" s="44">
        <f t="shared" si="0"/>
        <v>1660.5500000000002</v>
      </c>
      <c r="S17" s="3"/>
      <c r="T17" s="3"/>
    </row>
    <row r="18" spans="1:20" ht="15">
      <c r="A18" s="82" t="s">
        <v>21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4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82" t="s">
        <v>22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45</v>
      </c>
      <c r="B23" s="22"/>
      <c r="C23" s="23"/>
      <c r="D23" s="44">
        <f>D17</f>
        <v>836000</v>
      </c>
      <c r="E23" s="44"/>
      <c r="F23" s="44"/>
      <c r="G23" s="44"/>
      <c r="H23" s="44">
        <f t="shared" ref="H23:R23" si="1">H17</f>
        <v>836000</v>
      </c>
      <c r="I23" s="44">
        <f t="shared" si="1"/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836000</v>
      </c>
      <c r="N23" s="44">
        <f t="shared" si="1"/>
        <v>0</v>
      </c>
      <c r="O23" s="44">
        <f t="shared" si="1"/>
        <v>1963.49</v>
      </c>
      <c r="P23" s="44">
        <f t="shared" si="1"/>
        <v>7010.82</v>
      </c>
      <c r="Q23" s="44">
        <f t="shared" si="1"/>
        <v>7313.7599999999993</v>
      </c>
      <c r="R23" s="44">
        <f t="shared" si="1"/>
        <v>1660.5500000000002</v>
      </c>
      <c r="S23" s="3"/>
      <c r="T23" s="3"/>
    </row>
    <row r="24" spans="1:20" ht="15" thickBot="1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67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68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69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topLeftCell="B7" zoomScaleNormal="100" workbookViewId="0">
      <selection activeCell="J19" sqref="J19"/>
    </sheetView>
  </sheetViews>
  <sheetFormatPr defaultRowHeight="12.75"/>
  <cols>
    <col min="1" max="3" width="9.28515625" bestFit="1" customWidth="1"/>
    <col min="4" max="4" width="14" bestFit="1" customWidth="1"/>
    <col min="5" max="7" width="9.28515625" bestFit="1" customWidth="1"/>
    <col min="8" max="8" width="10.5703125" customWidth="1"/>
    <col min="9" max="11" width="9.28515625" bestFit="1" customWidth="1"/>
    <col min="12" max="12" width="11.5703125" bestFit="1" customWidth="1"/>
    <col min="13" max="13" width="11.28515625" customWidth="1"/>
    <col min="14" max="14" width="11.5703125" bestFit="1" customWidth="1"/>
    <col min="15" max="15" width="10.42578125" bestFit="1" customWidth="1"/>
    <col min="16" max="16" width="11.5703125" bestFit="1" customWidth="1"/>
    <col min="17" max="17" width="21.28515625" customWidth="1"/>
    <col min="18" max="18" width="10.42578125" bestFit="1" customWidth="1"/>
  </cols>
  <sheetData>
    <row r="1" spans="1:20" ht="18.7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50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3"/>
      <c r="F5" s="93"/>
      <c r="G5" s="93"/>
      <c r="H5" s="93"/>
      <c r="I5" s="93"/>
      <c r="J5" s="93"/>
      <c r="K5" s="93"/>
      <c r="L5" s="9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4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95" t="s">
        <v>23</v>
      </c>
      <c r="N8" s="96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45">
      <c r="A9" s="94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88" t="s">
        <v>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2" t="s">
        <v>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4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Шала!D19+Кривцы!D18+Авдеево!D23+Красноборский!D25</f>
        <v>8706000</v>
      </c>
      <c r="E15" s="44"/>
      <c r="F15" s="44"/>
      <c r="G15" s="44">
        <f>Шала!G19+Кривцы!G18+Авдеево!G23+Красноборский!G25</f>
        <v>0</v>
      </c>
      <c r="H15" s="44">
        <f>Шала!H19+Кривцы!H18+Авдеево!H23+Красноборский!H25</f>
        <v>6593491</v>
      </c>
      <c r="I15" s="44">
        <f>Шала!I19+Кривцы!I18+Авдеево!I23+Красноборский!I25</f>
        <v>0</v>
      </c>
      <c r="J15" s="44">
        <f>Шала!J19+Кривцы!J18+Авдеево!J23+Красноборский!J25</f>
        <v>0</v>
      </c>
      <c r="K15" s="44">
        <f>Шала!K19+Кривцы!K18+Авдеево!K23+Красноборский!K25</f>
        <v>0</v>
      </c>
      <c r="L15" s="44">
        <f>Шала!L19+Кривцы!L18+Авдеево!L23+Красноборский!L25</f>
        <v>60000</v>
      </c>
      <c r="M15" s="44">
        <f>Шала!M19+Кривцы!M18+Авдеево!M23+Красноборский!M25</f>
        <v>6533491</v>
      </c>
      <c r="N15" s="44">
        <f>Шала!N19+Кривцы!N18+Авдеево!N23+Красноборский!N25</f>
        <v>1855000</v>
      </c>
      <c r="O15" s="44">
        <f>Шала!O19+Кривцы!O18+Авдеево!O23+Красноборский!O25</f>
        <v>18080.800000000003</v>
      </c>
      <c r="P15" s="44">
        <f>Шала!P19+Кривцы!P18+Авдеево!P23+Красноборский!P25</f>
        <v>55782.179999999993</v>
      </c>
      <c r="Q15" s="44">
        <f>Шала!Q19+Кривцы!Q18+Авдеево!Q23+Красноборский!Q25</f>
        <v>10962.560000000001</v>
      </c>
      <c r="R15" s="44">
        <f>Шала!R19+Кривцы!R18+Авдеево!R23+Красноборский!R25</f>
        <v>62900.420000000006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82" t="s">
        <v>21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/>
      <c r="S17" s="3"/>
      <c r="T17" s="3"/>
    </row>
    <row r="18" spans="1:20" ht="15">
      <c r="A18" s="33"/>
      <c r="B18" s="22"/>
      <c r="C18" s="23"/>
      <c r="D18" s="2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28"/>
      <c r="Q18" s="28"/>
      <c r="R18" s="34"/>
      <c r="S18" s="3"/>
      <c r="T18" s="3"/>
    </row>
    <row r="19" spans="1:20" ht="15">
      <c r="A19" s="35" t="s">
        <v>2</v>
      </c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82" t="s">
        <v>22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4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 thickBot="1">
      <c r="A23" s="98" t="s">
        <v>47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0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48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49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15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район</vt:lpstr>
      <vt:lpstr>Шала</vt:lpstr>
      <vt:lpstr>Кривцы</vt:lpstr>
      <vt:lpstr>Красноборский</vt:lpstr>
      <vt:lpstr>Авдеево</vt:lpstr>
      <vt:lpstr>СВОД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2018-03-21T09:54:58Z</cp:lastPrinted>
  <dcterms:created xsi:type="dcterms:W3CDTF">2006-06-05T06:40:26Z</dcterms:created>
  <dcterms:modified xsi:type="dcterms:W3CDTF">2018-05-11T05:44:38Z</dcterms:modified>
</cp:coreProperties>
</file>