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7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20" i="2"/>
  <c r="P19"/>
  <c r="P17"/>
  <c r="P16" i="5"/>
  <c r="P15"/>
  <c r="P16" i="6"/>
  <c r="P18" i="3"/>
  <c r="P16"/>
  <c r="P17"/>
  <c r="P15"/>
  <c r="Q31" i="2" l="1"/>
  <c r="P31"/>
  <c r="Q30"/>
  <c r="P30"/>
  <c r="Q28"/>
  <c r="P28"/>
  <c r="Q23"/>
  <c r="Q22"/>
  <c r="Q21"/>
  <c r="Q20"/>
  <c r="Q19"/>
  <c r="Q17"/>
  <c r="P23"/>
  <c r="P22"/>
  <c r="P21"/>
  <c r="L19"/>
  <c r="L23"/>
  <c r="L22"/>
  <c r="L21"/>
  <c r="L20"/>
  <c r="L17"/>
  <c r="L16" i="5" l="1"/>
  <c r="L15"/>
  <c r="Q16"/>
  <c r="Q15"/>
  <c r="Q16" i="6"/>
  <c r="Q18" i="7" l="1"/>
  <c r="P18"/>
  <c r="P25" i="8" l="1"/>
  <c r="L25" i="2"/>
  <c r="Q17" i="5"/>
  <c r="N25" i="2"/>
  <c r="O25"/>
  <c r="P25"/>
  <c r="M18" i="9"/>
  <c r="N25" i="8"/>
  <c r="O25"/>
  <c r="Q25"/>
  <c r="I25"/>
  <c r="J25"/>
  <c r="K25"/>
  <c r="L25"/>
  <c r="H25"/>
  <c r="M21"/>
  <c r="M25" s="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<sst xmlns="http://schemas.openxmlformats.org/spreadsheetml/2006/main" count="309" uniqueCount="83">
  <si>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</si>
  <si>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</si>
  <si>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</si>
  <si>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</si>
  <si>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</si>
  <si>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</si>
  <si>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</si>
  <si>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</si>
  <si>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</si>
  <si>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</si>
  <si>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</si>
  <si>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</si>
  <si>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</si>
  <si>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</si>
  <si>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</si>
  <si>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</si>
  <si>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</si>
  <si>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</si>
  <si>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</si>
  <si>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</si>
  <si>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</si>
  <si>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</si>
  <si>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</si>
  <si>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</si>
  <si>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</si>
  <si>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</si>
  <si>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</si>
  <si>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</si>
  <si>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</si>
  <si>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</si>
  <si>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</si>
  <si>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</si>
  <si>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</si>
  <si>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</si>
  <si>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</si>
  <si>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</si>
  <si>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</si>
  <si>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</si>
  <si>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</si>
  <si>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</si>
  <si>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</si>
  <si>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</si>
  <si>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</si>
  <si>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</si>
  <si>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</si>
  <si>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</si>
  <si>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</si>
  <si>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</si>
  <si>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</si>
  <si>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</si>
  <si>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</si>
  <si>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</si>
  <si>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</si>
  <si>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</si>
  <si>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</si>
  <si>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</si>
  <si>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</si>
  <si>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</si>
  <si>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</si>
  <si>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</si>
  <si>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</si>
  <si>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</si>
  <si>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</si>
  <si>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</si>
  <si>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</si>
  <si>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</si>
  <si>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</si>
  <si>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</si>
  <si>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</si>
  <si>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</si>
  <si>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</si>
  <si>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</si>
  <si>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</si>
  <si>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</si>
  <si>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</si>
  <si>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</si>
  <si>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</si>
  <si>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</si>
  <si>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Информация о долговых обязательствах Пудожского городского поселения на 1 июня 2019года.</t>
  </si>
  <si>
    <t>Информация о долговых обяхательствах  Пудожского муниципального района по состоянию на 1 августа 2019года</t>
  </si>
  <si>
    <t>Информация о долговых обязательствах  Шальского сельского поселения на 1 августа 2019года</t>
  </si>
  <si>
    <t>Информация о долговых обяхательствах Авдеевского сельского поселения на 1 августа 2019года.</t>
  </si>
  <si>
    <t>Информация о долговых обяхательствах Красноборского сельского поселения на 1 августа 2019года.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</si>
</sst>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view="pageBreakPreview" zoomScale="60" zoomScaleNormal="100" workbookViewId="0">
      <selection activeCell="P21" sqref="P21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92" t="s">
        <v>10</v>
      </c>
      <c r="R1" s="92"/>
    </row>
    <row r="2" spans="1:18" ht="26.25" customHeight="1">
      <c r="Q2" s="92"/>
      <c r="R2" s="92"/>
    </row>
    <row r="3" spans="1:18" ht="21.75" customHeight="1">
      <c r="A3" s="93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4"/>
      <c r="F7" s="94"/>
      <c r="G7" s="94"/>
      <c r="H7" s="94"/>
      <c r="I7" s="94"/>
      <c r="J7" s="94"/>
      <c r="K7" s="94"/>
      <c r="L7" s="94"/>
      <c r="M7" s="9"/>
      <c r="N7" s="9"/>
    </row>
    <row r="8" spans="1:18" ht="5.25" customHeight="1"/>
    <row r="9" spans="1:18" ht="15" customHeight="1"/>
    <row r="10" spans="1:18" ht="36.75" customHeight="1">
      <c r="A10" s="95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98" t="s">
        <v>22</v>
      </c>
      <c r="N10" s="99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95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4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100" t="s">
        <v>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1544000+1544000+1544000+1544000+1544000+1544000+1544000+2000</f>
        <v>10810000</v>
      </c>
      <c r="M17" s="47">
        <f t="shared" ref="M17:M23" si="0">H17+J17-L17</f>
        <v>0</v>
      </c>
      <c r="N17" s="49"/>
      <c r="O17" s="48">
        <v>0</v>
      </c>
      <c r="P17" s="48">
        <f>22622.12+16065.84+16612.58+1595.47+11804.81+7543.62+4325.6+529.45</f>
        <v>81099.490000000005</v>
      </c>
      <c r="Q17" s="48">
        <f>22622.12+16065.84+18208.05+11804.81+7543.62+4325.6</f>
        <v>80570.039999999994</v>
      </c>
      <c r="R17" s="49">
        <f t="shared" ref="R17:R23" si="1">O17+P17-Q17</f>
        <v>529.45000000001164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450000+450000+450000+450000+450000+450000+450000</f>
        <v>3150000</v>
      </c>
      <c r="M19" s="47">
        <f t="shared" si="0"/>
        <v>1850000</v>
      </c>
      <c r="N19" s="49"/>
      <c r="O19" s="48">
        <v>0</v>
      </c>
      <c r="P19" s="48">
        <f>10650.45+8346.98+8898.97+465+7494.24+6255.81+5128.15+4038.75</f>
        <v>51278.35</v>
      </c>
      <c r="Q19" s="48">
        <f>10650.45+8346.98+9363.97+7494.24+6255.81+5128.15</f>
        <v>47239.6</v>
      </c>
      <c r="R19" s="49">
        <f t="shared" si="1"/>
        <v>4038.75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151000+151000+151000+151000+151000+151000+151000</f>
        <v>1057000</v>
      </c>
      <c r="M20" s="47">
        <f t="shared" si="0"/>
        <v>755000</v>
      </c>
      <c r="N20" s="49"/>
      <c r="O20" s="48">
        <v>0</v>
      </c>
      <c r="P20" s="48">
        <f>3868.27+3066.84+3280.55+156.03+2799.69+2393.62+2001.44+1639.29</f>
        <v>19205.73</v>
      </c>
      <c r="Q20" s="48">
        <f>3868.27+3066.84+3436.58+2799.69+2393.62+2001.44</f>
        <v>17566.439999999999</v>
      </c>
      <c r="R20" s="49">
        <f t="shared" si="1"/>
        <v>1639.2900000000009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f>596000+596000+596000+596000+596000</f>
        <v>2980000</v>
      </c>
      <c r="M21" s="47">
        <f t="shared" si="0"/>
        <v>4767000</v>
      </c>
      <c r="N21" s="28"/>
      <c r="O21" s="28">
        <v>0</v>
      </c>
      <c r="P21" s="48">
        <f>615.87+89063.44</f>
        <v>89679.31</v>
      </c>
      <c r="Q21" s="48">
        <f>615.87+89063.44</f>
        <v>89679.31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60000+60000+60000+60000+60000+60000+60000</f>
        <v>420000</v>
      </c>
      <c r="M22" s="47">
        <f t="shared" si="0"/>
        <v>720000</v>
      </c>
      <c r="N22" s="28"/>
      <c r="O22" s="28">
        <v>0</v>
      </c>
      <c r="P22" s="48">
        <f>62+12309.86</f>
        <v>12371.86</v>
      </c>
      <c r="Q22" s="48">
        <f>62+12309.86</f>
        <v>12371.86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f>273000+273000+273000+273000+273000</f>
        <v>1365000</v>
      </c>
      <c r="M23" s="47">
        <f t="shared" si="0"/>
        <v>4105000</v>
      </c>
      <c r="N23" s="28"/>
      <c r="O23" s="28">
        <v>0</v>
      </c>
      <c r="P23" s="48">
        <f>282.1+65423.6</f>
        <v>65705.7</v>
      </c>
      <c r="Q23" s="28">
        <f>282.1+65423.6</f>
        <v>65705.7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19782000</v>
      </c>
      <c r="M25" s="28">
        <f t="shared" si="2"/>
        <v>12197000</v>
      </c>
      <c r="N25" s="28">
        <f t="shared" si="2"/>
        <v>0</v>
      </c>
      <c r="O25" s="28">
        <f t="shared" si="2"/>
        <v>0</v>
      </c>
      <c r="P25" s="48">
        <f t="shared" si="2"/>
        <v>319340.44</v>
      </c>
      <c r="Q25" s="48">
        <f t="shared" si="2"/>
        <v>313132.95</v>
      </c>
      <c r="R25" s="48">
        <f t="shared" si="2"/>
        <v>6207.4900000000125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100" t="s">
        <v>20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68330.45+61717.83+68330.45+66126.25+68330.45+66126.25+68330.45</f>
        <v>467292.13</v>
      </c>
      <c r="Q28" s="48">
        <f>68330.45+61717.83+68330.45+66126.25+68330.45+66126.25+68330.45</f>
        <v>467292.13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71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108287.67+97808.22+108287.67+104794.52+108287.67+104794.52+108287.67</f>
        <v>740547.94000000006</v>
      </c>
      <c r="Q30" s="48">
        <f>108287.67+97808.22+108287.67+104794.52+108287.67+104794.52+108287.67</f>
        <v>740547.94000000006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140136.99+126575.34+140136.99+135616.44+140136.99+135616.44+140136.99</f>
        <v>958356.17999999993</v>
      </c>
      <c r="Q31" s="48">
        <f>140136.99+126575.34+140136.99+135616.44+140136.99+135616.44+140136.99</f>
        <v>958356.17999999993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2184103.21</v>
      </c>
      <c r="Q32" s="44">
        <f>Q28+Q29+Q30+Q31</f>
        <v>2184103.21</v>
      </c>
      <c r="R32" s="49">
        <f>O32+P32-Q32</f>
        <v>0</v>
      </c>
    </row>
    <row r="33" spans="1:18" s="3" customFormat="1" ht="0.75" customHeight="1">
      <c r="A33" s="100" t="s">
        <v>21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21539000</v>
      </c>
      <c r="M35" s="87">
        <f t="shared" si="5"/>
        <v>55097000</v>
      </c>
      <c r="N35" s="44">
        <f t="shared" si="5"/>
        <v>0</v>
      </c>
      <c r="O35" s="44">
        <f t="shared" si="5"/>
        <v>0</v>
      </c>
      <c r="P35" s="44">
        <f t="shared" si="5"/>
        <v>2503443.65</v>
      </c>
      <c r="Q35" s="44">
        <f t="shared" si="5"/>
        <v>2497236.16</v>
      </c>
      <c r="R35" s="44">
        <f t="shared" si="5"/>
        <v>6207.4900000000125</v>
      </c>
    </row>
    <row r="36" spans="1:18" s="19" customFormat="1" ht="33" hidden="1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72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A2" sqref="A2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3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1086.06+5.68+26.35+980.96+5.05+13.18+1086.06+4.56+26.35+1051.03+5.61+21.96+1086.06+26.35+5.7+1035.21+1051.03+5.43+25.5</f>
        <v>7548.13</v>
      </c>
      <c r="Q15" s="48">
        <v>4312.8500000000004</v>
      </c>
      <c r="R15" s="49">
        <f>O15+P15-Q15</f>
        <v>17030.760000000002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2976.25+55.8+15.89+2688.22+27.9+13.84+2976.25+27.9+13.84+2880.24+46.5+15.38+2976.25+55.8+15.63+2836.88+2880.24+54+14.89</f>
        <v>20571.699999999997</v>
      </c>
      <c r="Q16" s="48">
        <v>11738.01</v>
      </c>
      <c r="R16" s="49">
        <f>O16+P16-Q16</f>
        <v>46875.839999999997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3828.64+6.46+20.4+3458.13+3.88+17.8+3828.64+7.75+18.76+3705.14+6.46+19.78+3828.64+7.75+20.1+3585.62+3705.14+7.5+18.82</f>
        <v>26095.409999999996</v>
      </c>
      <c r="Q17" s="48">
        <v>14921.84</v>
      </c>
      <c r="R17" s="49">
        <f>O17+P17-Q17</f>
        <v>15883.259999999995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>
        <v>354000</v>
      </c>
      <c r="O18" s="48">
        <v>38625.760000000002</v>
      </c>
      <c r="P18" s="48">
        <f>3104.6+220.1+16.58+2804.16+110.05+14.44+3104.6+220.1+15.21+3004.45+183.42+16.04+3104.6+220.1+16.3+2959.22+3004.45+213+15.54</f>
        <v>22346.959999999999</v>
      </c>
      <c r="Q18" s="48">
        <v>12813.75</v>
      </c>
      <c r="R18" s="49">
        <f>O18+P18-Q18</f>
        <v>48158.97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3184000</v>
      </c>
      <c r="O19" s="44">
        <f t="shared" si="0"/>
        <v>95173.080000000016</v>
      </c>
      <c r="P19" s="44">
        <f t="shared" si="0"/>
        <v>76562.199999999983</v>
      </c>
      <c r="Q19" s="44">
        <f t="shared" si="0"/>
        <v>43786.45</v>
      </c>
      <c r="R19" s="44">
        <f t="shared" si="0"/>
        <v>127948.82999999999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3184000</v>
      </c>
      <c r="O26" s="91">
        <f t="shared" si="1"/>
        <v>95173.080000000016</v>
      </c>
      <c r="P26" s="91">
        <f t="shared" si="1"/>
        <v>76562.199999999983</v>
      </c>
      <c r="Q26" s="91">
        <f t="shared" si="1"/>
        <v>43786.45</v>
      </c>
      <c r="R26" s="91">
        <f t="shared" si="1"/>
        <v>127948.82999999999</v>
      </c>
      <c r="S26" s="3"/>
      <c r="T26" s="3"/>
    </row>
    <row r="27" spans="1:20" ht="34.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100" t="s">
        <v>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100" t="s">
        <v>21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3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25500+8500+8500+8500</f>
        <v>51000</v>
      </c>
      <c r="M15" s="47">
        <f>H15+J15-L15</f>
        <v>153000</v>
      </c>
      <c r="N15" s="41"/>
      <c r="O15" s="70">
        <v>863.11</v>
      </c>
      <c r="P15" s="70">
        <f>447.59+2.39+68.07+404.27+2.08+61.48+431.35+362.66+372.99+63.68+342.29+324.86+0.88+61.63</f>
        <v>2946.2200000000003</v>
      </c>
      <c r="Q15" s="70">
        <f>476.47+2.66+1235.84+134.02+431.35+362.66+372.99+63.68</f>
        <v>3079.6699999999996</v>
      </c>
      <c r="R15" s="49">
        <f>O15+P15-Q15</f>
        <v>729.66000000000076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27000+9000+9000+9000</f>
        <v>54000</v>
      </c>
      <c r="M16" s="47">
        <f>H16+J16-L16</f>
        <v>162000</v>
      </c>
      <c r="N16" s="28"/>
      <c r="O16" s="70">
        <v>1492.43</v>
      </c>
      <c r="P16" s="70">
        <f>458.63+2.49+72.08+414.25+2.13+65.1+452.84+0.51+373.01+382.19+13.95+362.42+343.97+1.97+13.5</f>
        <v>2959.0399999999995</v>
      </c>
      <c r="Q16" s="70">
        <f>2.82+504.49+1764.16+141.8+536.68+0.51+10+373.01+0.51+382.19+13.95</f>
        <v>3730.1200000000003</v>
      </c>
      <c r="R16" s="49">
        <f>O16+P16-Q16</f>
        <v>721.349999999999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105000</v>
      </c>
      <c r="M17" s="44">
        <f t="shared" si="0"/>
        <v>315000</v>
      </c>
      <c r="N17" s="44">
        <f t="shared" si="0"/>
        <v>0</v>
      </c>
      <c r="O17" s="44">
        <f t="shared" si="0"/>
        <v>2355.54</v>
      </c>
      <c r="P17" s="44">
        <f t="shared" si="0"/>
        <v>5905.26</v>
      </c>
      <c r="Q17" s="44">
        <f t="shared" si="0"/>
        <v>6809.79</v>
      </c>
      <c r="R17" s="44">
        <f t="shared" si="0"/>
        <v>1451.0099999999998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105000</v>
      </c>
      <c r="M23" s="91">
        <f t="shared" si="1"/>
        <v>315000</v>
      </c>
      <c r="N23" s="91">
        <f t="shared" si="1"/>
        <v>0</v>
      </c>
      <c r="O23" s="91">
        <f t="shared" si="1"/>
        <v>2355.54</v>
      </c>
      <c r="P23" s="91">
        <f t="shared" si="1"/>
        <v>5905.26</v>
      </c>
      <c r="Q23" s="91">
        <f t="shared" si="1"/>
        <v>6809.79</v>
      </c>
      <c r="R23" s="91">
        <f t="shared" si="1"/>
        <v>1451.0099999999998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Q22" sqref="Q2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9.140625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100" t="s">
        <v>20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>
        <v>2000000</v>
      </c>
      <c r="M21" s="28">
        <f>H21-L21</f>
        <v>0</v>
      </c>
      <c r="N21" s="28"/>
      <c r="O21" s="28"/>
      <c r="P21" s="48">
        <v>102316.67</v>
      </c>
      <c r="Q21" s="48">
        <v>102316.67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100" t="s">
        <v>21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2000000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2000000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102316.67</v>
      </c>
      <c r="Q25" s="91">
        <f t="shared" si="1"/>
        <v>102316.67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3" t="s">
        <v>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1834.24+108.5+9.77+1656.73+65.1+8.53+1834.24+108.5+8.99+1775.07+108.5+9.48+1834.24+130.2+1775.07+1834.24+105+9.63</f>
        <v>13216.029999999999</v>
      </c>
      <c r="Q16" s="70">
        <f>108.5+8.99+1775.07+1834.24+130.2</f>
        <v>3857</v>
      </c>
      <c r="R16" s="49">
        <f>O16+P16-Q16</f>
        <v>18058.919999999998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13216.029999999999</v>
      </c>
      <c r="Q17" s="44">
        <f t="shared" si="0"/>
        <v>3857</v>
      </c>
      <c r="R17" s="44">
        <f t="shared" si="0"/>
        <v>18058.919999999998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13216.029999999999</v>
      </c>
      <c r="Q23" s="87">
        <f t="shared" si="1"/>
        <v>3857</v>
      </c>
      <c r="R23" s="87">
        <f t="shared" si="1"/>
        <v>18058.919999999998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5" zoomScaleNormal="100" workbookViewId="0">
      <selection activeCell="P15" sqref="P15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105000</v>
      </c>
      <c r="M15" s="44">
        <f>Шала!M19+Кривцы!M18+Авдеево!M23+Красноборский!M23</f>
        <v>6162500</v>
      </c>
      <c r="N15" s="44">
        <f>Шала!N19+Кривцы!N18+Авдеево!N23+Красноборский!N23</f>
        <v>3184000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95683.489999999976</v>
      </c>
      <c r="Q15" s="44">
        <f>Шала!Q19+Кривцы!Q18+Авдеево!Q23+Красноборский!Q23</f>
        <v>54453.24</v>
      </c>
      <c r="R15" s="44">
        <f>Шала!R19+Кривцы!R18+Авдеево!R23+Красноборский!R23</f>
        <v>147458.76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102316.67</v>
      </c>
      <c r="Q18" s="48">
        <f>Город!Q21</f>
        <v>102316.67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102316.67</v>
      </c>
      <c r="Q19" s="44">
        <f t="shared" si="0"/>
        <v>102316.67</v>
      </c>
      <c r="R19" s="44">
        <f t="shared" si="0"/>
        <v>0</v>
      </c>
      <c r="S19" s="3"/>
      <c r="T19" s="3"/>
    </row>
    <row r="20" spans="1:20" ht="1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105000</v>
      </c>
      <c r="M22" s="87">
        <f t="shared" si="1"/>
        <v>8162500</v>
      </c>
      <c r="N22" s="87">
        <f t="shared" si="1"/>
        <v>3184000</v>
      </c>
      <c r="O22" s="87">
        <f t="shared" si="1"/>
        <v>106228.51000000001</v>
      </c>
      <c r="P22" s="87">
        <f t="shared" si="1"/>
        <v>198000.15999999997</v>
      </c>
      <c r="Q22" s="87">
        <f t="shared" si="1"/>
        <v>156769.91</v>
      </c>
      <c r="R22" s="87">
        <f t="shared" si="1"/>
        <v>147458.76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C4" workbookViewId="0">
      <selection activeCell="Q19" sqref="Q1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19887000</v>
      </c>
      <c r="M15" s="44">
        <f>Шала!M19+Кривцы!M18+Авдеево!M23+Красноборский!M23+район!M25</f>
        <v>18359500</v>
      </c>
      <c r="N15" s="44">
        <f>Шала!N19+Кривцы!N18+Авдеево!N23+Красноборский!N23+район!N25</f>
        <v>3184000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415023.93</v>
      </c>
      <c r="Q15" s="44">
        <f>Шала!Q19+Кривцы!Q18+Авдеево!Q23+Красноборский!Q23+район!Q25</f>
        <v>367586.19</v>
      </c>
      <c r="R15" s="44">
        <f>Шала!R19+Кривцы!R18+Авдеево!R23+Красноборский!R23+район!R25</f>
        <v>153666.25000000003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>
        <v>2000000</v>
      </c>
      <c r="M18" s="28">
        <f>H18+J18-L18</f>
        <v>0</v>
      </c>
      <c r="N18" s="28"/>
      <c r="O18" s="28"/>
      <c r="P18" s="48">
        <v>102316.67</v>
      </c>
      <c r="Q18" s="48">
        <v>102316.67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3757000</v>
      </c>
      <c r="M19" s="44">
        <f>M18+район!M32</f>
        <v>42900000</v>
      </c>
      <c r="N19" s="44">
        <f>N18+район!N32</f>
        <v>0</v>
      </c>
      <c r="O19" s="44">
        <f>O18+район!O32</f>
        <v>0</v>
      </c>
      <c r="P19" s="44">
        <f>P18+район!P32</f>
        <v>2286419.88</v>
      </c>
      <c r="Q19" s="44">
        <f>Q18+район!Q32</f>
        <v>2286419.88</v>
      </c>
      <c r="R19" s="44">
        <f>R18+район!R32</f>
        <v>0</v>
      </c>
    </row>
    <row r="20" spans="1:18" ht="14.2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23644000</v>
      </c>
      <c r="M22" s="44">
        <f t="shared" si="0"/>
        <v>61259500</v>
      </c>
      <c r="N22" s="44">
        <f t="shared" si="0"/>
        <v>3184000</v>
      </c>
      <c r="O22" s="44">
        <f t="shared" si="0"/>
        <v>106228.51000000001</v>
      </c>
      <c r="P22" s="44">
        <f t="shared" si="0"/>
        <v>2701443.81</v>
      </c>
      <c r="Q22" s="44">
        <f t="shared" si="0"/>
        <v>2654006.0699999998</v>
      </c>
      <c r="R22" s="44">
        <f t="shared" si="0"/>
        <v>153666.25000000003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2019-04-22T13:11:31Z</cp:lastPrinted>
  <dcterms:created xsi:type="dcterms:W3CDTF">2006-06-05T06:40:26Z</dcterms:created>
  <dcterms:modified xsi:type="dcterms:W3CDTF">2019-08-06T13:45:16Z</dcterms:modified>
</cp:coreProperties>
</file>