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tabRatio="750" activeTab="7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Город" sheetId="8" r:id="rId5"/>
    <sheet name="Авдеево" sheetId="6" r:id="rId6"/>
    <sheet name="СВОД" sheetId="7" r:id="rId7"/>
    <sheet name="Консолидация" sheetId="9" r:id="rId8"/>
  </sheets>
  <calcPr calcId="125725"/>
</workbook>
</file>

<file path=xl/calcChain.xml><?xml version="1.0" encoding="utf-8"?>
<calcChain xmlns="http://schemas.openxmlformats.org/spreadsheetml/2006/main">
  <c r="P20" i="2"/>
  <c r="P19"/>
  <c r="P17"/>
  <c r="P16" i="5"/>
  <c r="P15"/>
  <c r="P16" i="6"/>
  <c r="P18" i="3"/>
  <c r="P16"/>
  <c r="P17"/>
  <c r="P15"/>
  <c r="Q31" i="2" l="1"/>
  <c r="P31"/>
  <c r="Q30"/>
  <c r="P30"/>
  <c r="Q28"/>
  <c r="P28"/>
  <c r="Q23"/>
  <c r="Q22"/>
  <c r="Q21"/>
  <c r="Q20"/>
  <c r="Q19"/>
  <c r="Q17"/>
  <c r="P23"/>
  <c r="P22"/>
  <c r="P21"/>
  <c r="L19"/>
  <c r="L23"/>
  <c r="L22"/>
  <c r="L21"/>
  <c r="L20"/>
  <c r="L17"/>
  <c r="L16" i="5" l="1"/>
  <c r="L15"/>
  <c r="Q16"/>
  <c r="Q15"/>
  <c r="Q16" i="6"/>
  <c r="Q18" i="7" l="1"/>
  <c r="P18"/>
  <c r="P25" i="8" l="1"/>
  <c r="L25" i="2"/>
  <c r="Q17" i="5"/>
  <c r="N25" i="2"/>
  <c r="O25"/>
  <c r="P25"/>
  <c r="M18" i="9"/>
  <c r="N25" i="8"/>
  <c r="O25"/>
  <c r="Q25"/>
  <c r="I25"/>
  <c r="J25"/>
  <c r="K25"/>
  <c r="L25"/>
  <c r="H25"/>
  <c r="M21"/>
  <c r="M25" s="1"/>
  <c r="E17" i="5"/>
  <c r="G17"/>
  <c r="H17"/>
  <c r="I17"/>
  <c r="J17"/>
  <c r="K17"/>
  <c r="L17"/>
  <c r="N17"/>
  <c r="O17"/>
  <c r="D17"/>
  <c r="M29" i="2"/>
  <c r="M30"/>
  <c r="M31"/>
  <c r="M28"/>
  <c r="I25"/>
  <c r="J25"/>
  <c r="K25"/>
  <c r="H25"/>
  <c r="Q25" l="1"/>
  <c r="P17" i="5"/>
  <c r="E19" i="9" l="1"/>
  <c r="F19"/>
  <c r="G19"/>
  <c r="N19"/>
  <c r="O19"/>
  <c r="E15"/>
  <c r="F15"/>
  <c r="G15"/>
  <c r="R18"/>
  <c r="Q32" i="2"/>
  <c r="Q19" i="9" s="1"/>
  <c r="P32" i="2"/>
  <c r="P19" i="9" s="1"/>
  <c r="R31" i="2"/>
  <c r="I32"/>
  <c r="I19" i="9" s="1"/>
  <c r="J32" i="2"/>
  <c r="J19" i="9" s="1"/>
  <c r="K19"/>
  <c r="L32" i="2"/>
  <c r="L19" i="9" s="1"/>
  <c r="H32" i="2"/>
  <c r="H19" i="9" s="1"/>
  <c r="E19" i="7"/>
  <c r="E22" s="1"/>
  <c r="F19"/>
  <c r="F22" s="1"/>
  <c r="G19"/>
  <c r="H19"/>
  <c r="I19"/>
  <c r="J19"/>
  <c r="K19"/>
  <c r="L19"/>
  <c r="M19"/>
  <c r="N19"/>
  <c r="O19"/>
  <c r="P19"/>
  <c r="Q19"/>
  <c r="R18"/>
  <c r="R19" s="1"/>
  <c r="M18"/>
  <c r="D19"/>
  <c r="R24" i="8"/>
  <c r="K24"/>
  <c r="L24"/>
  <c r="R21"/>
  <c r="O19"/>
  <c r="N19"/>
  <c r="L19"/>
  <c r="K19"/>
  <c r="J19"/>
  <c r="I19"/>
  <c r="H19"/>
  <c r="D19"/>
  <c r="D25" s="1"/>
  <c r="Q19"/>
  <c r="I35" i="2" l="1"/>
  <c r="G22" i="9"/>
  <c r="F22"/>
  <c r="E22"/>
  <c r="R19" i="8"/>
  <c r="R25" s="1"/>
  <c r="M19"/>
  <c r="P19"/>
  <c r="D32" i="2" l="1"/>
  <c r="D19" i="9" s="1"/>
  <c r="R30" i="2" l="1"/>
  <c r="Q18" i="4" l="1"/>
  <c r="M32" i="2" l="1"/>
  <c r="M19" i="9" s="1"/>
  <c r="R23" i="2"/>
  <c r="M23" l="1"/>
  <c r="D35" l="1"/>
  <c r="R29"/>
  <c r="R28" l="1"/>
  <c r="R22" l="1"/>
  <c r="M22"/>
  <c r="R21" l="1"/>
  <c r="M16" i="5"/>
  <c r="G15" i="7"/>
  <c r="G22" s="1"/>
  <c r="J23" i="6"/>
  <c r="K23"/>
  <c r="N23"/>
  <c r="R16"/>
  <c r="R17" s="1"/>
  <c r="R23" s="1"/>
  <c r="Q17"/>
  <c r="Q23" s="1"/>
  <c r="M16"/>
  <c r="L17"/>
  <c r="L23" s="1"/>
  <c r="H17"/>
  <c r="H23" s="1"/>
  <c r="I17"/>
  <c r="I23" s="1"/>
  <c r="J17"/>
  <c r="K17"/>
  <c r="N17"/>
  <c r="O17"/>
  <c r="O23" s="1"/>
  <c r="P17"/>
  <c r="P23" s="1"/>
  <c r="D17"/>
  <c r="D23" s="1"/>
  <c r="I26" i="3"/>
  <c r="J26"/>
  <c r="K26"/>
  <c r="D26"/>
  <c r="R15" i="5"/>
  <c r="R16"/>
  <c r="Q23"/>
  <c r="P23"/>
  <c r="K23"/>
  <c r="K15" i="9" s="1"/>
  <c r="K22" s="1"/>
  <c r="M15" i="5"/>
  <c r="H23"/>
  <c r="I23"/>
  <c r="I15" i="9" s="1"/>
  <c r="I22" s="1"/>
  <c r="J23" i="5"/>
  <c r="J15" i="9" s="1"/>
  <c r="J22" s="1"/>
  <c r="L23" i="5"/>
  <c r="N23"/>
  <c r="O23"/>
  <c r="D23"/>
  <c r="M17" l="1"/>
  <c r="M23" s="1"/>
  <c r="R17"/>
  <c r="R23" s="1"/>
  <c r="M17" i="6"/>
  <c r="M23" s="1"/>
  <c r="R17" i="4" l="1"/>
  <c r="R18" s="1"/>
  <c r="R24" s="1"/>
  <c r="Q24"/>
  <c r="P18"/>
  <c r="P24" s="1"/>
  <c r="L18"/>
  <c r="L15" i="9" s="1"/>
  <c r="L22" s="1"/>
  <c r="I18" i="4"/>
  <c r="J18"/>
  <c r="K18"/>
  <c r="N18"/>
  <c r="N24" s="1"/>
  <c r="O18"/>
  <c r="H18"/>
  <c r="D18"/>
  <c r="D15" i="9" s="1"/>
  <c r="D22" s="1"/>
  <c r="R16" i="3"/>
  <c r="R17"/>
  <c r="R18"/>
  <c r="R15"/>
  <c r="P19"/>
  <c r="H19"/>
  <c r="I19"/>
  <c r="J19"/>
  <c r="K19"/>
  <c r="L19"/>
  <c r="L26" s="1"/>
  <c r="N19"/>
  <c r="O19"/>
  <c r="Q19"/>
  <c r="M16"/>
  <c r="M17"/>
  <c r="M18"/>
  <c r="M15"/>
  <c r="G15"/>
  <c r="D19"/>
  <c r="Q15" i="7" l="1"/>
  <c r="Q22" s="1"/>
  <c r="Q15" i="9"/>
  <c r="Q22" s="1"/>
  <c r="O24" i="4"/>
  <c r="O15" i="9"/>
  <c r="O22" s="1"/>
  <c r="H24" i="4"/>
  <c r="H15" i="9"/>
  <c r="H22" s="1"/>
  <c r="P15"/>
  <c r="P22" s="1"/>
  <c r="I24" i="4"/>
  <c r="I15" i="7"/>
  <c r="I22" s="1"/>
  <c r="J15"/>
  <c r="J22" s="1"/>
  <c r="J24" i="4"/>
  <c r="D24"/>
  <c r="D15" i="7"/>
  <c r="D22" s="1"/>
  <c r="K24" i="4"/>
  <c r="K15" i="7"/>
  <c r="K22" s="1"/>
  <c r="O15"/>
  <c r="O22" s="1"/>
  <c r="O26" i="3"/>
  <c r="H26"/>
  <c r="H15" i="7"/>
  <c r="H22" s="1"/>
  <c r="N15"/>
  <c r="N22" s="1"/>
  <c r="N26" i="3"/>
  <c r="M19"/>
  <c r="M26" s="1"/>
  <c r="P15" i="7"/>
  <c r="P22" s="1"/>
  <c r="P26" i="3"/>
  <c r="Q26"/>
  <c r="R19"/>
  <c r="L24" i="4"/>
  <c r="L15" i="7"/>
  <c r="L22" s="1"/>
  <c r="M17" i="4"/>
  <c r="M18" s="1"/>
  <c r="R15" i="7" l="1"/>
  <c r="R22" s="1"/>
  <c r="R26" i="3"/>
  <c r="M24" i="4"/>
  <c r="M15" i="7"/>
  <c r="M22" s="1"/>
  <c r="J35" i="2"/>
  <c r="L35"/>
  <c r="R32"/>
  <c r="R19" i="9" s="1"/>
  <c r="R17" i="2" l="1"/>
  <c r="O35"/>
  <c r="M17"/>
  <c r="M19"/>
  <c r="M20"/>
  <c r="M21"/>
  <c r="H35"/>
  <c r="M25" l="1"/>
  <c r="N35"/>
  <c r="N15" i="9"/>
  <c r="N22" s="1"/>
  <c r="Q35" i="2"/>
  <c r="R20"/>
  <c r="R19"/>
  <c r="P35"/>
  <c r="R25" l="1"/>
  <c r="M35"/>
  <c r="M15" i="9"/>
  <c r="M22" s="1"/>
  <c r="R35" i="2" l="1"/>
  <c r="R15" i="9"/>
  <c r="R22" s="1"/>
</calcChain>
</file>

<file path=xl/sharedStrings.xml><?xml version="1.0" encoding="utf-8"?>
<sst xmlns="http://schemas.openxmlformats.org/spreadsheetml/2006/main" count="309" uniqueCount="83">
  <si>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</si>
  <si>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</si>
  <si>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</si>
  <si>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</si>
  <si>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</si>
  <si>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</si>
  <si>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</si>
  <si>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</si>
  <si>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</si>
  <si>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</si>
  <si>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</si>
  <si>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</si>
  <si>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</si>
  <si>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</si>
  <si>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</si>
  <si>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</si>
  <si>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</si>
  <si>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</si>
  <si>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</si>
  <si>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</si>
  <si>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</si>
  <si>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</si>
  <si>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</si>
  <si>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</si>
  <si>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</si>
  <si>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</si>
  <si>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N13-2/16 от  03.08.2016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</si>
  <si>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</si>
  <si>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</si>
  <si>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</si>
  <si>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</si>
  <si>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Всего муниципальный долг</t>
  </si>
  <si>
    <t>Итого муниципальный долг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</si>
  <si>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</si>
  <si>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</si>
  <si>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</si>
  <si>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</si>
  <si>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</si>
  <si>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№5 от 02.10.2016</t>
  </si>
  <si>
    <t>Казна поселения</t>
  </si>
  <si>
    <t>Исполнитель                                             / И.Д.Голованова  /</t>
  </si>
  <si>
    <t>Исполнитель                                             / И.Д.Голованова   /</t>
  </si>
  <si>
    <t>Исполнитель                                             /  И.Д.Голованова  /</t>
  </si>
  <si>
    <t>Договор № 6 от 02.10.2016</t>
  </si>
  <si>
    <t>казна поселения</t>
  </si>
  <si>
    <t>Договор  N13-1/17 от  08.06.2017</t>
  </si>
  <si>
    <t>Исполнитель                                             /    И.Д.Голованова            /</t>
  </si>
  <si>
    <t>Договор  N13-2/17 от  11.08.2017</t>
  </si>
  <si>
    <t>ПАО "Сбербанк России"</t>
  </si>
  <si>
    <t>Муниципальный контракт  N 0106300008417000059-0226286-01 от 13.11.2017.</t>
  </si>
  <si>
    <t>Муниципальный контракт  N 0106300008417000060-0226286-02 от 26.11.2017.</t>
  </si>
  <si>
    <t>АО Банк "Северный морской путь"</t>
  </si>
  <si>
    <t>Договор  N13-3/17 от  25.12.2017</t>
  </si>
  <si>
    <t>Муниципальный контракт  N 0106300008418000028-0226286-01 от 27.04.2018.</t>
  </si>
  <si>
    <t>Глава администрации Пудожского муниципального района                                                                              /    А.В.Ладыгин   /</t>
  </si>
  <si>
    <t>Глава администрации Пудожского муниципального района                                                                        /   А.В.Ладыгин   /</t>
  </si>
  <si>
    <t>Глава администрации Пудожского муниципального района                                                                              / А.В.Ладыгин  /</t>
  </si>
  <si>
    <t>Глава администрации Пудожского муниципального района                                                                              /  А.В.Ладыгин /</t>
  </si>
  <si>
    <t>Глава администрации Пудожского муниципального района                                                                              /  А.В.Ладыгин   /</t>
  </si>
  <si>
    <t>Муниципальный контракт  N 0106300008418000062-0226286-01 от 27.08.2018.</t>
  </si>
  <si>
    <t>1.</t>
  </si>
  <si>
    <t>Муниципальный контракт  N 010630011018000031-0142281-02 от 27.07.2018.</t>
  </si>
  <si>
    <t>Казна городского поселения</t>
  </si>
  <si>
    <t xml:space="preserve">Итого </t>
  </si>
  <si>
    <t>Глава Администрации Пудожского муниципального района                                                                              /     А.В.Ладыгин                              /</t>
  </si>
  <si>
    <t>Исполнитель                                             /      И.Д.Голованова                             /</t>
  </si>
  <si>
    <t>Информация о долговых обяхательствах  Пудожского муниципального района</t>
  </si>
  <si>
    <t>СВОД по поселениям</t>
  </si>
  <si>
    <t>Исполнитель                                             /  И.Д.Голованова    / тел 8(81452)5-13-61</t>
  </si>
  <si>
    <t>Договор №9 от 25.10.2016</t>
  </si>
  <si>
    <t>Руководитель финансового управления                                           /    Н.Н.Третьякова     /</t>
  </si>
  <si>
    <t>31.О1</t>
  </si>
  <si>
    <t>Начальник отдела финансов и бухгалтерского учета                                           /  Н.Н.Третьякова   /</t>
  </si>
  <si>
    <t>Начальник отдела финансов и бухгалтерского учета                                           /   Н.Н.Третьякова  /</t>
  </si>
  <si>
    <t>Начальник отдела финансов и бухгалтерского учета                                           /   Н.Н.Третьякова     /</t>
  </si>
  <si>
    <t>Начальник финансов и бухгалтерского учета                                           /   Н.Н.Третьякова    /</t>
  </si>
  <si>
    <t>Начальник финансов и бухгатерского учета                                           / Н.Н.Третьякова   /</t>
  </si>
  <si>
    <t>Консолидация</t>
  </si>
  <si>
    <t>Информация о долговых обязательствах Пудожского городского поселения на 1 июня 2019года.</t>
  </si>
  <si>
    <t>Информация о долговых обяхательствах  Пудожского муниципального района по состоянию на 1 августа 2019года</t>
  </si>
  <si>
    <t>Информация о долговых обязательствах  Шальского сельского поселения на 1 августа 2019года</t>
  </si>
  <si>
    <t>Информация о долговых обяхательствах Авдеевского сельского поселения на 1 августа 2019года.</t>
  </si>
  <si>
    <t>Информация о долговых обяхательствах Красноборского сельского поселения на 1 августа 2019года.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</si>
</sst>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6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view="pageBreakPreview" zoomScale="60" zoomScaleNormal="100" workbookViewId="0">
      <selection activeCell="P21" sqref="P21"/>
    </sheetView>
  </sheetViews>
  <sheetFormatPr defaultColWidth="9.140625" defaultRowHeight="12.75"/>
  <cols>
    <col min="1" max="1" width="4.28515625" style="1" customWidth="1"/>
    <col min="2" max="2" width="32.7109375" style="4" customWidth="1"/>
    <col min="3" max="3" width="32.85546875" style="4" customWidth="1"/>
    <col min="4" max="4" width="16.855468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14.5703125" style="1" customWidth="1"/>
    <col min="12" max="12" width="14" style="1" customWidth="1"/>
    <col min="13" max="13" width="17.140625" style="1" customWidth="1"/>
    <col min="14" max="14" width="13.42578125" style="1" customWidth="1"/>
    <col min="15" max="15" width="13" style="1" customWidth="1"/>
    <col min="16" max="16" width="17.140625" style="1" customWidth="1"/>
    <col min="17" max="17" width="17.7109375" style="1" customWidth="1"/>
    <col min="18" max="18" width="15.7109375" style="1" customWidth="1"/>
    <col min="19" max="16384" width="9.140625" style="1"/>
  </cols>
  <sheetData>
    <row r="1" spans="1:18">
      <c r="Q1" s="92" t="s">
        <v>10</v>
      </c>
      <c r="R1" s="92"/>
    </row>
    <row r="2" spans="1:18" ht="26.25" customHeight="1">
      <c r="Q2" s="92"/>
      <c r="R2" s="92"/>
    </row>
    <row r="3" spans="1:18" ht="21.75" customHeight="1">
      <c r="A3" s="93" t="s">
        <v>79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/>
    </row>
    <row r="6" spans="1:18" ht="3" customHeight="1">
      <c r="E6" s="5"/>
      <c r="F6" s="5"/>
    </row>
    <row r="7" spans="1:18" ht="7.5" customHeight="1">
      <c r="E7" s="94"/>
      <c r="F7" s="94"/>
      <c r="G7" s="94"/>
      <c r="H7" s="94"/>
      <c r="I7" s="94"/>
      <c r="J7" s="94"/>
      <c r="K7" s="94"/>
      <c r="L7" s="94"/>
      <c r="M7" s="9"/>
      <c r="N7" s="9"/>
    </row>
    <row r="8" spans="1:18" ht="5.25" customHeight="1"/>
    <row r="9" spans="1:18" ht="15" customHeight="1"/>
    <row r="10" spans="1:18" ht="36.75" customHeight="1">
      <c r="A10" s="95" t="s">
        <v>1</v>
      </c>
      <c r="B10" s="96" t="s">
        <v>23</v>
      </c>
      <c r="C10" s="96" t="s">
        <v>11</v>
      </c>
      <c r="D10" s="96" t="s">
        <v>24</v>
      </c>
      <c r="E10" s="96" t="s">
        <v>25</v>
      </c>
      <c r="F10" s="96" t="s">
        <v>7</v>
      </c>
      <c r="G10" s="96" t="s">
        <v>0</v>
      </c>
      <c r="H10" s="96" t="s">
        <v>15</v>
      </c>
      <c r="I10" s="96" t="s">
        <v>8</v>
      </c>
      <c r="J10" s="96" t="s">
        <v>12</v>
      </c>
      <c r="K10" s="96" t="s">
        <v>9</v>
      </c>
      <c r="L10" s="96" t="s">
        <v>13</v>
      </c>
      <c r="M10" s="98" t="s">
        <v>22</v>
      </c>
      <c r="N10" s="99"/>
      <c r="O10" s="96" t="s">
        <v>4</v>
      </c>
      <c r="P10" s="96" t="s">
        <v>19</v>
      </c>
      <c r="Q10" s="96" t="s">
        <v>18</v>
      </c>
      <c r="R10" s="96" t="s">
        <v>17</v>
      </c>
    </row>
    <row r="11" spans="1:18" s="13" customFormat="1" ht="94.5" customHeight="1">
      <c r="A11" s="95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40" t="s">
        <v>14</v>
      </c>
      <c r="N11" s="40" t="s">
        <v>16</v>
      </c>
      <c r="O11" s="97"/>
      <c r="P11" s="97"/>
      <c r="Q11" s="97"/>
      <c r="R11" s="97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0.75" customHeight="1">
      <c r="A13" s="104" t="s">
        <v>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6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100" t="s">
        <v>5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2"/>
    </row>
    <row r="17" spans="1:18" s="3" customFormat="1" ht="27" customHeight="1">
      <c r="A17" s="41">
        <v>11</v>
      </c>
      <c r="B17" s="22" t="s">
        <v>26</v>
      </c>
      <c r="C17" s="23" t="s">
        <v>29</v>
      </c>
      <c r="D17" s="44">
        <v>17160000</v>
      </c>
      <c r="E17" s="45">
        <v>43671</v>
      </c>
      <c r="F17" s="46" t="s">
        <v>30</v>
      </c>
      <c r="G17" s="41">
        <v>2.75</v>
      </c>
      <c r="H17" s="28">
        <v>10810000</v>
      </c>
      <c r="I17" s="22"/>
      <c r="J17" s="49"/>
      <c r="K17" s="41"/>
      <c r="L17" s="49">
        <f>1544000+1544000+1544000+1544000+1544000+1544000+1544000+2000</f>
        <v>10810000</v>
      </c>
      <c r="M17" s="47">
        <f t="shared" ref="M17:M23" si="0">H17+J17-L17</f>
        <v>0</v>
      </c>
      <c r="N17" s="49"/>
      <c r="O17" s="48">
        <v>0</v>
      </c>
      <c r="P17" s="48">
        <f>22622.12+16065.84+16612.58+1595.47+11804.81+7543.62+4325.6+529.45</f>
        <v>81099.490000000005</v>
      </c>
      <c r="Q17" s="48">
        <f>22622.12+16065.84+18208.05+11804.81+7543.62+4325.6</f>
        <v>80570.039999999994</v>
      </c>
      <c r="R17" s="49">
        <f t="shared" ref="R17:R23" si="1">O17+P17-Q17</f>
        <v>529.45000000001164</v>
      </c>
    </row>
    <row r="18" spans="1:18" s="3" customFormat="1" ht="28.5" hidden="1" customHeight="1">
      <c r="A18" s="41">
        <v>12</v>
      </c>
      <c r="B18" s="22"/>
      <c r="C18" s="23"/>
      <c r="D18" s="44"/>
      <c r="E18" s="45"/>
      <c r="F18" s="46"/>
      <c r="G18" s="41"/>
      <c r="H18" s="28"/>
      <c r="I18" s="22"/>
      <c r="J18" s="41"/>
      <c r="K18" s="41"/>
      <c r="L18" s="41"/>
      <c r="M18" s="47"/>
      <c r="N18" s="49"/>
      <c r="O18" s="48"/>
      <c r="P18" s="48"/>
      <c r="Q18" s="48"/>
      <c r="R18" s="49"/>
    </row>
    <row r="19" spans="1:18" s="3" customFormat="1" ht="29.25" customHeight="1">
      <c r="A19" s="41">
        <v>14</v>
      </c>
      <c r="B19" s="22" t="s">
        <v>27</v>
      </c>
      <c r="C19" s="23" t="s">
        <v>29</v>
      </c>
      <c r="D19" s="44">
        <v>15000000</v>
      </c>
      <c r="E19" s="45">
        <v>43818</v>
      </c>
      <c r="F19" s="46" t="s">
        <v>30</v>
      </c>
      <c r="G19" s="41">
        <v>2.75</v>
      </c>
      <c r="H19" s="28">
        <v>5000000</v>
      </c>
      <c r="I19" s="22"/>
      <c r="J19" s="49"/>
      <c r="K19" s="41"/>
      <c r="L19" s="49">
        <f>450000+450000+450000+450000+450000+450000+450000</f>
        <v>3150000</v>
      </c>
      <c r="M19" s="47">
        <f t="shared" si="0"/>
        <v>1850000</v>
      </c>
      <c r="N19" s="49"/>
      <c r="O19" s="48">
        <v>0</v>
      </c>
      <c r="P19" s="48">
        <f>10650.45+8346.98+8898.97+465+7494.24+6255.81+5128.15+4038.75</f>
        <v>51278.35</v>
      </c>
      <c r="Q19" s="48">
        <f>10650.45+8346.98+9363.97+7494.24+6255.81+5128.15</f>
        <v>47239.6</v>
      </c>
      <c r="R19" s="49">
        <f t="shared" si="1"/>
        <v>4038.75</v>
      </c>
    </row>
    <row r="20" spans="1:18" s="3" customFormat="1" ht="32.25" customHeight="1">
      <c r="A20" s="41">
        <v>15</v>
      </c>
      <c r="B20" s="22" t="s">
        <v>28</v>
      </c>
      <c r="C20" s="23" t="s">
        <v>29</v>
      </c>
      <c r="D20" s="44">
        <v>5000000</v>
      </c>
      <c r="E20" s="45">
        <v>43822</v>
      </c>
      <c r="F20" s="46" t="s">
        <v>30</v>
      </c>
      <c r="G20" s="41">
        <v>2.75</v>
      </c>
      <c r="H20" s="28">
        <v>1812000</v>
      </c>
      <c r="I20" s="22"/>
      <c r="J20" s="49"/>
      <c r="K20" s="41"/>
      <c r="L20" s="49">
        <f>151000+151000+151000+151000+151000+151000+151000</f>
        <v>1057000</v>
      </c>
      <c r="M20" s="47">
        <f t="shared" si="0"/>
        <v>755000</v>
      </c>
      <c r="N20" s="49"/>
      <c r="O20" s="48">
        <v>0</v>
      </c>
      <c r="P20" s="48">
        <f>3868.27+3066.84+3280.55+156.03+2799.69+2393.62+2001.44+1639.29</f>
        <v>19205.73</v>
      </c>
      <c r="Q20" s="48">
        <f>3868.27+3066.84+3436.58+2799.69+2393.62+2001.44</f>
        <v>17566.439999999999</v>
      </c>
      <c r="R20" s="49">
        <f t="shared" si="1"/>
        <v>1639.2900000000009</v>
      </c>
    </row>
    <row r="21" spans="1:18" s="3" customFormat="1" ht="42" customHeight="1">
      <c r="A21" s="71">
        <v>17</v>
      </c>
      <c r="B21" s="22" t="s">
        <v>45</v>
      </c>
      <c r="C21" s="23" t="s">
        <v>29</v>
      </c>
      <c r="D21" s="44">
        <v>15000000</v>
      </c>
      <c r="E21" s="61">
        <v>43981</v>
      </c>
      <c r="F21" s="46" t="s">
        <v>30</v>
      </c>
      <c r="G21" s="48">
        <v>2.75</v>
      </c>
      <c r="H21" s="28">
        <v>7747000</v>
      </c>
      <c r="I21" s="72"/>
      <c r="J21" s="48"/>
      <c r="K21" s="28"/>
      <c r="L21" s="28">
        <f>596000+596000+596000+596000+596000</f>
        <v>2980000</v>
      </c>
      <c r="M21" s="47">
        <f t="shared" si="0"/>
        <v>4767000</v>
      </c>
      <c r="N21" s="28"/>
      <c r="O21" s="28">
        <v>0</v>
      </c>
      <c r="P21" s="48">
        <f>615.87+89063.44</f>
        <v>89679.31</v>
      </c>
      <c r="Q21" s="48">
        <f>615.87+89063.44</f>
        <v>89679.31</v>
      </c>
      <c r="R21" s="49">
        <f t="shared" si="1"/>
        <v>0</v>
      </c>
    </row>
    <row r="22" spans="1:18" s="3" customFormat="1" ht="29.25" customHeight="1">
      <c r="A22" s="71">
        <v>18</v>
      </c>
      <c r="B22" s="22" t="s">
        <v>47</v>
      </c>
      <c r="C22" s="23" t="s">
        <v>29</v>
      </c>
      <c r="D22" s="44">
        <v>1800000</v>
      </c>
      <c r="E22" s="61">
        <v>44185</v>
      </c>
      <c r="F22" s="46" t="s">
        <v>30</v>
      </c>
      <c r="G22" s="48">
        <v>2.75</v>
      </c>
      <c r="H22" s="28">
        <v>1140000</v>
      </c>
      <c r="I22" s="72"/>
      <c r="J22" s="48"/>
      <c r="K22" s="28"/>
      <c r="L22" s="28">
        <f>60000+60000+60000+60000+60000+60000+60000</f>
        <v>420000</v>
      </c>
      <c r="M22" s="47">
        <f t="shared" si="0"/>
        <v>720000</v>
      </c>
      <c r="N22" s="28"/>
      <c r="O22" s="28">
        <v>0</v>
      </c>
      <c r="P22" s="48">
        <f>62+12309.86</f>
        <v>12371.86</v>
      </c>
      <c r="Q22" s="48">
        <f>62+12309.86</f>
        <v>12371.86</v>
      </c>
      <c r="R22" s="49">
        <f t="shared" si="1"/>
        <v>0</v>
      </c>
    </row>
    <row r="23" spans="1:18" s="3" customFormat="1" ht="29.25" customHeight="1">
      <c r="A23" s="71">
        <v>19</v>
      </c>
      <c r="B23" s="22" t="s">
        <v>52</v>
      </c>
      <c r="C23" s="23" t="s">
        <v>29</v>
      </c>
      <c r="D23" s="44">
        <v>8200000</v>
      </c>
      <c r="E23" s="61">
        <v>44189</v>
      </c>
      <c r="F23" s="46" t="s">
        <v>30</v>
      </c>
      <c r="G23" s="48">
        <v>2.75</v>
      </c>
      <c r="H23" s="28">
        <v>5470000</v>
      </c>
      <c r="I23" s="72"/>
      <c r="J23" s="48"/>
      <c r="K23" s="28"/>
      <c r="L23" s="28">
        <f>273000+273000+273000+273000+273000</f>
        <v>1365000</v>
      </c>
      <c r="M23" s="47">
        <f t="shared" si="0"/>
        <v>4105000</v>
      </c>
      <c r="N23" s="28"/>
      <c r="O23" s="28">
        <v>0</v>
      </c>
      <c r="P23" s="48">
        <f>282.1+65423.6</f>
        <v>65705.7</v>
      </c>
      <c r="Q23" s="28">
        <f>282.1+65423.6</f>
        <v>65705.7</v>
      </c>
      <c r="R23" s="49">
        <f t="shared" si="1"/>
        <v>0</v>
      </c>
    </row>
    <row r="24" spans="1:18" s="3" customFormat="1" ht="29.25" customHeight="1">
      <c r="A24" s="71"/>
      <c r="B24" s="22"/>
      <c r="C24" s="23"/>
      <c r="D24" s="44"/>
      <c r="E24" s="61"/>
      <c r="F24" s="46"/>
      <c r="G24" s="48"/>
      <c r="H24" s="28"/>
      <c r="I24" s="72"/>
      <c r="J24" s="48"/>
      <c r="K24" s="28"/>
      <c r="L24" s="28"/>
      <c r="M24" s="47"/>
      <c r="N24" s="28"/>
      <c r="O24" s="28"/>
      <c r="P24" s="48"/>
      <c r="Q24" s="28"/>
      <c r="R24" s="49"/>
    </row>
    <row r="25" spans="1:18" s="3" customFormat="1" ht="18.75" customHeight="1">
      <c r="A25" s="43">
        <v>21</v>
      </c>
      <c r="B25" s="22"/>
      <c r="C25" s="23"/>
      <c r="D25" s="44"/>
      <c r="E25" s="26"/>
      <c r="F25" s="46"/>
      <c r="G25" s="28"/>
      <c r="H25" s="28">
        <f t="shared" ref="H25:R25" si="2">H17+H19+H20+H21+H22+H23</f>
        <v>31979000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19782000</v>
      </c>
      <c r="M25" s="28">
        <f t="shared" si="2"/>
        <v>12197000</v>
      </c>
      <c r="N25" s="28">
        <f t="shared" si="2"/>
        <v>0</v>
      </c>
      <c r="O25" s="28">
        <f t="shared" si="2"/>
        <v>0</v>
      </c>
      <c r="P25" s="48">
        <f t="shared" si="2"/>
        <v>319340.44</v>
      </c>
      <c r="Q25" s="48">
        <f t="shared" si="2"/>
        <v>313132.95</v>
      </c>
      <c r="R25" s="48">
        <f t="shared" si="2"/>
        <v>6207.4900000000125</v>
      </c>
    </row>
    <row r="26" spans="1:18" s="3" customFormat="1" ht="18.75" customHeight="1">
      <c r="A26" s="73"/>
      <c r="B26" s="23"/>
      <c r="C26" s="23"/>
      <c r="D26" s="74"/>
      <c r="E26" s="25"/>
      <c r="F26" s="25"/>
      <c r="G26" s="27"/>
      <c r="H26" s="27"/>
      <c r="I26" s="75"/>
      <c r="J26" s="56"/>
      <c r="K26" s="27"/>
      <c r="L26" s="27"/>
      <c r="M26" s="27"/>
      <c r="N26" s="27"/>
      <c r="O26" s="56"/>
      <c r="P26" s="56"/>
      <c r="Q26" s="56"/>
      <c r="R26" s="56"/>
    </row>
    <row r="27" spans="1:18" s="3" customFormat="1" ht="31.5" customHeight="1">
      <c r="A27" s="100" t="s">
        <v>20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2"/>
    </row>
    <row r="28" spans="1:18" s="3" customFormat="1" ht="58.5" customHeight="1">
      <c r="A28" s="76">
        <v>1</v>
      </c>
      <c r="B28" s="22" t="s">
        <v>49</v>
      </c>
      <c r="C28" s="23" t="s">
        <v>48</v>
      </c>
      <c r="D28" s="44">
        <v>15000000</v>
      </c>
      <c r="E28" s="45">
        <v>43751</v>
      </c>
      <c r="F28" s="46" t="s">
        <v>30</v>
      </c>
      <c r="G28" s="77">
        <v>10.183999999999999</v>
      </c>
      <c r="H28" s="48">
        <v>7900000</v>
      </c>
      <c r="I28" s="56"/>
      <c r="J28" s="60"/>
      <c r="K28" s="28"/>
      <c r="L28" s="57">
        <v>0</v>
      </c>
      <c r="M28" s="49">
        <f>H28+J28-L28</f>
        <v>7900000</v>
      </c>
      <c r="N28" s="49"/>
      <c r="O28" s="49"/>
      <c r="P28" s="48">
        <f>68330.45+61717.83+68330.45+66126.25+68330.45+66126.25+68330.45</f>
        <v>467292.13</v>
      </c>
      <c r="Q28" s="48">
        <f>68330.45+61717.83+68330.45+66126.25+68330.45+66126.25+68330.45</f>
        <v>467292.13</v>
      </c>
      <c r="R28" s="49">
        <f>O28+P28-Q28</f>
        <v>0</v>
      </c>
    </row>
    <row r="29" spans="1:18" s="3" customFormat="1" ht="49.5" customHeight="1">
      <c r="A29" s="76">
        <v>2</v>
      </c>
      <c r="B29" s="22" t="s">
        <v>50</v>
      </c>
      <c r="C29" s="23" t="s">
        <v>51</v>
      </c>
      <c r="D29" s="44">
        <v>9000000</v>
      </c>
      <c r="E29" s="45">
        <v>43764</v>
      </c>
      <c r="F29" s="46" t="s">
        <v>30</v>
      </c>
      <c r="G29" s="77">
        <v>12</v>
      </c>
      <c r="H29" s="48">
        <v>1757000</v>
      </c>
      <c r="I29" s="56"/>
      <c r="J29" s="60"/>
      <c r="K29" s="78" t="s">
        <v>71</v>
      </c>
      <c r="L29" s="57">
        <v>1757000</v>
      </c>
      <c r="M29" s="49">
        <f t="shared" ref="M29:M31" si="3">H29+J29-L29</f>
        <v>0</v>
      </c>
      <c r="N29" s="49"/>
      <c r="O29" s="49"/>
      <c r="P29" s="48">
        <v>17906.96</v>
      </c>
      <c r="Q29" s="48">
        <v>17906.96</v>
      </c>
      <c r="R29" s="49">
        <f>O29+P29-Q29</f>
        <v>0</v>
      </c>
    </row>
    <row r="30" spans="1:18" s="3" customFormat="1" ht="49.5" customHeight="1">
      <c r="A30" s="76">
        <v>3</v>
      </c>
      <c r="B30" s="22" t="s">
        <v>53</v>
      </c>
      <c r="C30" s="23" t="s">
        <v>48</v>
      </c>
      <c r="D30" s="44">
        <v>15000000</v>
      </c>
      <c r="E30" s="45">
        <v>43917</v>
      </c>
      <c r="F30" s="46" t="s">
        <v>30</v>
      </c>
      <c r="G30" s="77">
        <v>8.5</v>
      </c>
      <c r="H30" s="48">
        <v>15000000</v>
      </c>
      <c r="I30" s="56">
        <v>0</v>
      </c>
      <c r="J30" s="60"/>
      <c r="K30" s="78"/>
      <c r="L30" s="57"/>
      <c r="M30" s="49">
        <f t="shared" si="3"/>
        <v>15000000</v>
      </c>
      <c r="N30" s="49"/>
      <c r="O30" s="49"/>
      <c r="P30" s="48">
        <f>108287.67+97808.22+108287.67+104794.52+108287.67+104794.52+108287.67</f>
        <v>740547.94000000006</v>
      </c>
      <c r="Q30" s="48">
        <f>108287.67+97808.22+108287.67+104794.52+108287.67+104794.52+108287.67</f>
        <v>740547.94000000006</v>
      </c>
      <c r="R30" s="49">
        <f>O30+P30-Q30</f>
        <v>0</v>
      </c>
    </row>
    <row r="31" spans="1:18" s="3" customFormat="1" ht="49.5" customHeight="1">
      <c r="A31" s="76">
        <v>4</v>
      </c>
      <c r="B31" s="22" t="s">
        <v>59</v>
      </c>
      <c r="C31" s="23" t="s">
        <v>48</v>
      </c>
      <c r="D31" s="44">
        <v>20000000</v>
      </c>
      <c r="E31" s="45">
        <v>44039</v>
      </c>
      <c r="F31" s="46" t="s">
        <v>30</v>
      </c>
      <c r="G31" s="77">
        <v>8.25</v>
      </c>
      <c r="H31" s="48">
        <v>20000000</v>
      </c>
      <c r="I31" s="56">
        <v>0</v>
      </c>
      <c r="J31" s="60"/>
      <c r="K31" s="78"/>
      <c r="L31" s="57"/>
      <c r="M31" s="49">
        <f t="shared" si="3"/>
        <v>20000000</v>
      </c>
      <c r="N31" s="49"/>
      <c r="O31" s="49"/>
      <c r="P31" s="48">
        <f>140136.99+126575.34+140136.99+135616.44+140136.99+135616.44+140136.99</f>
        <v>958356.17999999993</v>
      </c>
      <c r="Q31" s="48">
        <f>140136.99+126575.34+140136.99+135616.44+140136.99+135616.44+140136.99</f>
        <v>958356.17999999993</v>
      </c>
      <c r="R31" s="49">
        <f>O31+P31-Q31</f>
        <v>0</v>
      </c>
    </row>
    <row r="32" spans="1:18" s="3" customFormat="1" ht="18.75" customHeight="1">
      <c r="A32" s="35" t="s">
        <v>2</v>
      </c>
      <c r="B32" s="22"/>
      <c r="C32" s="23"/>
      <c r="D32" s="44">
        <f>D28+D29+D30+D31</f>
        <v>59000000</v>
      </c>
      <c r="E32" s="44"/>
      <c r="F32" s="44"/>
      <c r="G32" s="44"/>
      <c r="H32" s="44">
        <f t="shared" ref="H32:M32" si="4">H28+H29+H30+H31</f>
        <v>44657000</v>
      </c>
      <c r="I32" s="44">
        <f t="shared" si="4"/>
        <v>0</v>
      </c>
      <c r="J32" s="44">
        <f t="shared" si="4"/>
        <v>0</v>
      </c>
      <c r="K32" s="44"/>
      <c r="L32" s="44">
        <f t="shared" si="4"/>
        <v>1757000</v>
      </c>
      <c r="M32" s="44">
        <f t="shared" si="4"/>
        <v>42900000</v>
      </c>
      <c r="N32" s="44"/>
      <c r="O32" s="44"/>
      <c r="P32" s="44">
        <f>P28+P29+P30+P31</f>
        <v>2184103.21</v>
      </c>
      <c r="Q32" s="44">
        <f>Q28+Q29+Q30+Q31</f>
        <v>2184103.21</v>
      </c>
      <c r="R32" s="49">
        <f>O32+P32-Q32</f>
        <v>0</v>
      </c>
    </row>
    <row r="33" spans="1:18" s="3" customFormat="1" ht="0.75" customHeight="1">
      <c r="A33" s="100" t="s">
        <v>21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2"/>
    </row>
    <row r="34" spans="1:18" s="3" customFormat="1" ht="8.25" hidden="1" customHeight="1">
      <c r="A34" s="33"/>
      <c r="B34" s="22"/>
      <c r="C34" s="23"/>
      <c r="D34" s="24"/>
      <c r="E34" s="25"/>
      <c r="F34" s="26"/>
      <c r="G34" s="28"/>
      <c r="H34" s="27"/>
      <c r="I34" s="28"/>
      <c r="J34" s="28"/>
      <c r="K34" s="28"/>
      <c r="L34" s="29"/>
      <c r="M34" s="28"/>
      <c r="N34" s="28"/>
      <c r="O34" s="28"/>
      <c r="P34" s="28"/>
      <c r="Q34" s="28"/>
      <c r="R34" s="34"/>
    </row>
    <row r="35" spans="1:18" s="3" customFormat="1" ht="18.75" customHeight="1">
      <c r="A35" s="35" t="s">
        <v>31</v>
      </c>
      <c r="B35" s="22"/>
      <c r="C35" s="23"/>
      <c r="D35" s="44">
        <f>D25+D32+D30</f>
        <v>74000000</v>
      </c>
      <c r="E35" s="44"/>
      <c r="F35" s="44"/>
      <c r="G35" s="44"/>
      <c r="H35" s="44">
        <f>H25+H32</f>
        <v>76636000</v>
      </c>
      <c r="I35" s="44">
        <f>I25+I32</f>
        <v>0</v>
      </c>
      <c r="J35" s="44">
        <f>J25+J32</f>
        <v>0</v>
      </c>
      <c r="K35" s="44"/>
      <c r="L35" s="44">
        <f t="shared" ref="L35:R35" si="5">L25+L32</f>
        <v>21539000</v>
      </c>
      <c r="M35" s="87">
        <f t="shared" si="5"/>
        <v>55097000</v>
      </c>
      <c r="N35" s="44">
        <f t="shared" si="5"/>
        <v>0</v>
      </c>
      <c r="O35" s="44">
        <f t="shared" si="5"/>
        <v>0</v>
      </c>
      <c r="P35" s="44">
        <f t="shared" si="5"/>
        <v>2503443.65</v>
      </c>
      <c r="Q35" s="44">
        <f t="shared" si="5"/>
        <v>2497236.16</v>
      </c>
      <c r="R35" s="44">
        <f t="shared" si="5"/>
        <v>6207.4900000000125</v>
      </c>
    </row>
    <row r="36" spans="1:18" s="19" customFormat="1" ht="33" hidden="1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</row>
    <row r="37" spans="1:18" ht="10.5" customHeight="1">
      <c r="A37" s="14"/>
      <c r="B37" s="15"/>
      <c r="C37" s="15"/>
      <c r="D37" s="16"/>
      <c r="E37" s="18"/>
      <c r="F37" s="18"/>
      <c r="G37" s="20"/>
      <c r="H37" s="20"/>
      <c r="I37" s="21"/>
      <c r="J37" s="21"/>
      <c r="K37" s="21"/>
      <c r="L37" s="21"/>
      <c r="M37" s="20"/>
      <c r="N37" s="20"/>
      <c r="O37" s="20"/>
      <c r="P37" s="20"/>
      <c r="Q37" s="20"/>
      <c r="R37" s="20"/>
    </row>
    <row r="38" spans="1:18">
      <c r="A38" s="36" t="s">
        <v>54</v>
      </c>
      <c r="B38" s="37"/>
      <c r="C38" s="37"/>
      <c r="D38" s="38"/>
      <c r="E38" s="39"/>
      <c r="F38" s="39"/>
      <c r="H38" s="36"/>
      <c r="I38" s="36"/>
    </row>
    <row r="40" spans="1:18">
      <c r="A40" s="36" t="s">
        <v>72</v>
      </c>
      <c r="B40" s="37"/>
      <c r="C40" s="37"/>
      <c r="D40" s="38"/>
      <c r="E40" s="39"/>
      <c r="F40" s="39"/>
      <c r="H40" s="36"/>
      <c r="I40" s="36"/>
    </row>
    <row r="42" spans="1:18">
      <c r="A42" s="36" t="s">
        <v>68</v>
      </c>
      <c r="B42" s="37"/>
      <c r="C42" s="37"/>
      <c r="D42" s="38"/>
      <c r="E42" s="39"/>
      <c r="F42" s="39"/>
      <c r="H42" s="36"/>
      <c r="I42" s="36"/>
    </row>
    <row r="46" spans="1:18">
      <c r="A46" s="36"/>
      <c r="B46" s="37"/>
      <c r="C46" s="37"/>
      <c r="D46" s="38"/>
      <c r="E46" s="39"/>
      <c r="F46" s="39"/>
      <c r="H46" s="36"/>
      <c r="I46" s="36"/>
    </row>
    <row r="57" spans="2:2" ht="16.5" customHeight="1"/>
    <row r="58" spans="2:2" ht="30" customHeight="1">
      <c r="B58" s="17"/>
    </row>
  </sheetData>
  <mergeCells count="25">
    <mergeCell ref="A33:R33"/>
    <mergeCell ref="A36:R36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27:R27"/>
    <mergeCell ref="G10:G11"/>
    <mergeCell ref="Q1:R2"/>
    <mergeCell ref="A3:R3"/>
    <mergeCell ref="E7:L7"/>
    <mergeCell ref="A10:A11"/>
    <mergeCell ref="I10:I11"/>
    <mergeCell ref="J10:J11"/>
    <mergeCell ref="K10:K11"/>
    <mergeCell ref="L10:L11"/>
    <mergeCell ref="M10:N10"/>
  </mergeCells>
  <phoneticPr fontId="7" type="noConversion"/>
  <pageMargins left="0.23622047244094491" right="0.15748031496062992" top="0.27559055118110237" bottom="0.27559055118110237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view="pageBreakPreview" zoomScale="60" zoomScaleNormal="100" workbookViewId="0">
      <selection activeCell="A2" sqref="A2"/>
    </sheetView>
  </sheetViews>
  <sheetFormatPr defaultRowHeight="12.75"/>
  <cols>
    <col min="2" max="2" width="13.42578125" customWidth="1"/>
    <col min="3" max="3" width="9.140625" customWidth="1"/>
    <col min="4" max="4" width="13.140625" customWidth="1"/>
    <col min="5" max="5" width="12.140625" customWidth="1"/>
    <col min="6" max="6" width="12.28515625" customWidth="1"/>
    <col min="7" max="7" width="10.7109375" customWidth="1"/>
    <col min="8" max="8" width="14.42578125" customWidth="1"/>
    <col min="9" max="11" width="9.28515625" bestFit="1" customWidth="1"/>
    <col min="12" max="12" width="12.42578125" customWidth="1"/>
    <col min="13" max="13" width="14.5703125" customWidth="1"/>
    <col min="14" max="14" width="15.5703125" customWidth="1"/>
    <col min="15" max="15" width="10.7109375" customWidth="1"/>
    <col min="16" max="16" width="11.42578125" customWidth="1"/>
    <col min="17" max="17" width="13.28515625" customWidth="1"/>
    <col min="18" max="18" width="11.5703125" bestFit="1" customWidth="1"/>
  </cols>
  <sheetData>
    <row r="1" spans="1:20" ht="18.75">
      <c r="A1" s="93" t="s">
        <v>80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33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05">
      <c r="A15" s="41">
        <v>1</v>
      </c>
      <c r="B15" s="22" t="s">
        <v>33</v>
      </c>
      <c r="C15" s="22" t="s">
        <v>37</v>
      </c>
      <c r="D15" s="44">
        <v>800000</v>
      </c>
      <c r="E15" s="61">
        <v>42819</v>
      </c>
      <c r="F15" s="26" t="s">
        <v>39</v>
      </c>
      <c r="G15" s="48">
        <f>8.25*1/3</f>
        <v>2.75</v>
      </c>
      <c r="H15" s="28">
        <v>495000</v>
      </c>
      <c r="I15" s="41"/>
      <c r="J15" s="41"/>
      <c r="K15" s="41"/>
      <c r="L15" s="41"/>
      <c r="M15" s="49">
        <f>H15+J15-L15</f>
        <v>495000</v>
      </c>
      <c r="N15" s="49">
        <v>495000</v>
      </c>
      <c r="O15" s="48">
        <v>13795.48</v>
      </c>
      <c r="P15" s="48">
        <f>1086.06+5.68+26.35+980.96+5.05+13.18+1086.06+4.56+26.35+1051.03+5.61+21.96+1086.06+26.35+5.7+1035.21+1051.03+5.43+25.5</f>
        <v>7548.13</v>
      </c>
      <c r="Q15" s="48">
        <v>4312.8500000000004</v>
      </c>
      <c r="R15" s="49">
        <f>O15+P15-Q15</f>
        <v>17030.760000000002</v>
      </c>
      <c r="S15" s="3"/>
      <c r="T15" s="3"/>
    </row>
    <row r="16" spans="1:20" ht="105">
      <c r="A16" s="41">
        <v>2</v>
      </c>
      <c r="B16" s="22" t="s">
        <v>34</v>
      </c>
      <c r="C16" s="22" t="s">
        <v>37</v>
      </c>
      <c r="D16" s="44">
        <v>1500000</v>
      </c>
      <c r="E16" s="61">
        <v>43459</v>
      </c>
      <c r="F16" s="26" t="s">
        <v>39</v>
      </c>
      <c r="G16" s="48">
        <v>2.75</v>
      </c>
      <c r="H16" s="28">
        <v>1356500</v>
      </c>
      <c r="I16" s="41"/>
      <c r="J16" s="41"/>
      <c r="K16" s="41"/>
      <c r="L16" s="41"/>
      <c r="M16" s="49">
        <f>H16+J16-L16</f>
        <v>1356500</v>
      </c>
      <c r="N16" s="49">
        <v>1365000</v>
      </c>
      <c r="O16" s="48">
        <v>38042.15</v>
      </c>
      <c r="P16" s="48">
        <f>2976.25+55.8+15.89+2688.22+27.9+13.84+2976.25+27.9+13.84+2880.24+46.5+15.38+2976.25+55.8+15.63+2836.88+2880.24+54+14.89</f>
        <v>20571.699999999997</v>
      </c>
      <c r="Q16" s="48">
        <v>11738.01</v>
      </c>
      <c r="R16" s="49">
        <f>O16+P16-Q16</f>
        <v>46875.839999999997</v>
      </c>
      <c r="S16" s="3"/>
      <c r="T16" s="3"/>
    </row>
    <row r="17" spans="1:20" ht="105">
      <c r="A17" s="41">
        <v>3</v>
      </c>
      <c r="B17" s="22" t="s">
        <v>35</v>
      </c>
      <c r="C17" s="22" t="s">
        <v>37</v>
      </c>
      <c r="D17" s="44">
        <v>1750000</v>
      </c>
      <c r="E17" s="61">
        <v>43671</v>
      </c>
      <c r="F17" s="26" t="s">
        <v>39</v>
      </c>
      <c r="G17" s="48">
        <v>2.75</v>
      </c>
      <c r="H17" s="28">
        <v>1745000</v>
      </c>
      <c r="I17" s="41"/>
      <c r="J17" s="41"/>
      <c r="K17" s="41"/>
      <c r="L17" s="41"/>
      <c r="M17" s="49">
        <f>H17+J17-L17</f>
        <v>1745000</v>
      </c>
      <c r="N17" s="49">
        <v>970000</v>
      </c>
      <c r="O17" s="48">
        <v>4709.6899999999996</v>
      </c>
      <c r="P17" s="48">
        <f>3828.64+6.46+20.4+3458.13+3.88+17.8+3828.64+7.75+18.76+3705.14+6.46+19.78+3828.64+7.75+20.1+3585.62+3705.14+7.5+18.82</f>
        <v>26095.409999999996</v>
      </c>
      <c r="Q17" s="48">
        <v>14921.84</v>
      </c>
      <c r="R17" s="49">
        <f>O17+P17-Q17</f>
        <v>15883.259999999995</v>
      </c>
      <c r="S17" s="3"/>
      <c r="T17" s="3"/>
    </row>
    <row r="18" spans="1:20" ht="105">
      <c r="A18" s="41">
        <v>4</v>
      </c>
      <c r="B18" s="22" t="s">
        <v>36</v>
      </c>
      <c r="C18" s="22" t="s">
        <v>37</v>
      </c>
      <c r="D18" s="44">
        <v>1420000</v>
      </c>
      <c r="E18" s="61">
        <v>43824</v>
      </c>
      <c r="F18" s="26" t="s">
        <v>39</v>
      </c>
      <c r="G18" s="48">
        <v>2.75</v>
      </c>
      <c r="H18" s="28">
        <v>1415000</v>
      </c>
      <c r="I18" s="41"/>
      <c r="J18" s="41"/>
      <c r="K18" s="41"/>
      <c r="L18" s="41"/>
      <c r="M18" s="49">
        <f>H18+J18-L18</f>
        <v>1415000</v>
      </c>
      <c r="N18" s="49">
        <v>354000</v>
      </c>
      <c r="O18" s="48">
        <v>38625.760000000002</v>
      </c>
      <c r="P18" s="48">
        <f>3104.6+220.1+16.58+2804.16+110.05+14.44+3104.6+220.1+15.21+3004.45+183.42+16.04+3104.6+220.1+16.3+2959.22+3004.45+213+15.54</f>
        <v>22346.959999999999</v>
      </c>
      <c r="Q18" s="48">
        <v>12813.75</v>
      </c>
      <c r="R18" s="49">
        <f>O18+P18-Q18</f>
        <v>48158.97</v>
      </c>
      <c r="S18" s="3"/>
      <c r="T18" s="3"/>
    </row>
    <row r="19" spans="1:20" ht="15">
      <c r="A19" s="42"/>
      <c r="B19" s="22"/>
      <c r="C19" s="22"/>
      <c r="D19" s="44">
        <f>D15+D16+D17+D18</f>
        <v>5470000</v>
      </c>
      <c r="E19" s="44"/>
      <c r="F19" s="44"/>
      <c r="G19" s="44"/>
      <c r="H19" s="44">
        <f t="shared" ref="H19:R19" si="0">H15+H16+H17+H18</f>
        <v>5011500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5011500</v>
      </c>
      <c r="N19" s="44">
        <f t="shared" si="0"/>
        <v>3184000</v>
      </c>
      <c r="O19" s="44">
        <f t="shared" si="0"/>
        <v>95173.080000000016</v>
      </c>
      <c r="P19" s="44">
        <f t="shared" si="0"/>
        <v>76562.199999999983</v>
      </c>
      <c r="Q19" s="44">
        <f t="shared" si="0"/>
        <v>43786.45</v>
      </c>
      <c r="R19" s="44">
        <f t="shared" si="0"/>
        <v>127948.82999999999</v>
      </c>
      <c r="S19" s="3"/>
      <c r="T19" s="3"/>
    </row>
    <row r="20" spans="1:20" ht="15">
      <c r="A20" s="43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107" t="s">
        <v>20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3"/>
      <c r="T21" s="3"/>
    </row>
    <row r="22" spans="1:20" ht="15">
      <c r="A22" s="42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3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107" t="s">
        <v>21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31</v>
      </c>
      <c r="B26" s="22"/>
      <c r="C26" s="23"/>
      <c r="D26" s="87">
        <f>D19</f>
        <v>5470000</v>
      </c>
      <c r="E26" s="88"/>
      <c r="F26" s="89"/>
      <c r="G26" s="90"/>
      <c r="H26" s="91">
        <f>H19</f>
        <v>5011500</v>
      </c>
      <c r="I26" s="91">
        <f t="shared" ref="I26:R26" si="1">I19</f>
        <v>0</v>
      </c>
      <c r="J26" s="91">
        <f t="shared" si="1"/>
        <v>0</v>
      </c>
      <c r="K26" s="91">
        <f t="shared" si="1"/>
        <v>0</v>
      </c>
      <c r="L26" s="91">
        <f t="shared" si="1"/>
        <v>0</v>
      </c>
      <c r="M26" s="91">
        <f t="shared" si="1"/>
        <v>5011500</v>
      </c>
      <c r="N26" s="91">
        <f t="shared" si="1"/>
        <v>3184000</v>
      </c>
      <c r="O26" s="91">
        <f t="shared" si="1"/>
        <v>95173.080000000016</v>
      </c>
      <c r="P26" s="91">
        <f t="shared" si="1"/>
        <v>76562.199999999983</v>
      </c>
      <c r="Q26" s="91">
        <f t="shared" si="1"/>
        <v>43786.45</v>
      </c>
      <c r="R26" s="91">
        <f t="shared" si="1"/>
        <v>127948.82999999999</v>
      </c>
      <c r="S26" s="3"/>
      <c r="T26" s="3"/>
    </row>
    <row r="27" spans="1:20" ht="34.5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55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73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41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4"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A30" sqref="A30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6" width="11.85546875" customWidth="1"/>
    <col min="7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5" width="9.28515625" bestFit="1" customWidth="1"/>
    <col min="16" max="16" width="10.42578125" bestFit="1" customWidth="1"/>
    <col min="17" max="17" width="14" customWidth="1"/>
    <col min="18" max="18" width="12.42578125" customWidth="1"/>
  </cols>
  <sheetData>
    <row r="1" spans="1:20" ht="18.7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78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"/>
      <c r="T15" s="3"/>
    </row>
    <row r="16" spans="1:20" ht="15">
      <c r="A16" s="41"/>
      <c r="B16" s="22"/>
      <c r="C16" s="22"/>
      <c r="D16" s="44"/>
      <c r="E16" s="61"/>
      <c r="F16" s="26"/>
      <c r="G16" s="41"/>
      <c r="H16" s="28"/>
      <c r="I16" s="41"/>
      <c r="J16" s="41"/>
      <c r="K16" s="41"/>
      <c r="L16" s="28"/>
      <c r="M16" s="47"/>
      <c r="N16" s="41"/>
      <c r="O16" s="48"/>
      <c r="P16" s="48"/>
      <c r="Q16" s="48"/>
      <c r="R16" s="49"/>
      <c r="S16" s="3"/>
      <c r="T16" s="3"/>
    </row>
    <row r="17" spans="1:20" ht="15">
      <c r="A17" s="62">
        <v>1</v>
      </c>
      <c r="B17" s="22"/>
      <c r="C17" s="22"/>
      <c r="D17" s="44"/>
      <c r="E17" s="61"/>
      <c r="F17" s="26"/>
      <c r="G17" s="48"/>
      <c r="H17" s="28"/>
      <c r="I17" s="28"/>
      <c r="J17" s="28"/>
      <c r="K17" s="28"/>
      <c r="L17" s="28"/>
      <c r="M17" s="47">
        <f>H17+J17-L17</f>
        <v>0</v>
      </c>
      <c r="N17" s="28"/>
      <c r="O17" s="48"/>
      <c r="P17" s="48"/>
      <c r="Q17" s="48"/>
      <c r="R17" s="49">
        <f>O17+P17-Q17</f>
        <v>0</v>
      </c>
      <c r="S17" s="3"/>
      <c r="T17" s="3"/>
    </row>
    <row r="18" spans="1:20" ht="15">
      <c r="A18" s="35" t="s">
        <v>2</v>
      </c>
      <c r="B18" s="22"/>
      <c r="C18" s="23"/>
      <c r="D18" s="44">
        <f>D16+D17</f>
        <v>0</v>
      </c>
      <c r="E18" s="25"/>
      <c r="F18" s="26"/>
      <c r="G18" s="28"/>
      <c r="H18" s="27">
        <f>H16+H17</f>
        <v>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0</v>
      </c>
      <c r="M18" s="27">
        <f t="shared" si="0"/>
        <v>0</v>
      </c>
      <c r="N18" s="27">
        <f t="shared" si="0"/>
        <v>0</v>
      </c>
      <c r="O18" s="56">
        <f t="shared" si="0"/>
        <v>0</v>
      </c>
      <c r="P18" s="56">
        <f t="shared" si="0"/>
        <v>0</v>
      </c>
      <c r="Q18" s="56">
        <f>Q16+Q17</f>
        <v>0</v>
      </c>
      <c r="R18" s="56">
        <f t="shared" si="0"/>
        <v>0</v>
      </c>
      <c r="S18" s="3"/>
      <c r="T18" s="3"/>
    </row>
    <row r="19" spans="1:20" ht="15">
      <c r="A19" s="100" t="s">
        <v>20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2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100" t="s">
        <v>21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2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31</v>
      </c>
      <c r="B24" s="22"/>
      <c r="C24" s="23"/>
      <c r="D24" s="44">
        <f>D18</f>
        <v>0</v>
      </c>
      <c r="E24" s="25"/>
      <c r="F24" s="26"/>
      <c r="G24" s="28"/>
      <c r="H24" s="27">
        <f>H18</f>
        <v>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0</v>
      </c>
      <c r="M24" s="27">
        <f t="shared" si="1"/>
        <v>0</v>
      </c>
      <c r="N24" s="27">
        <f t="shared" si="1"/>
        <v>0</v>
      </c>
      <c r="O24" s="56">
        <f t="shared" si="1"/>
        <v>0</v>
      </c>
      <c r="P24" s="56">
        <f t="shared" si="1"/>
        <v>0</v>
      </c>
      <c r="Q24" s="56">
        <f t="shared" si="1"/>
        <v>0</v>
      </c>
      <c r="R24" s="56">
        <f t="shared" si="1"/>
        <v>0</v>
      </c>
      <c r="S24" s="3"/>
      <c r="T24" s="3"/>
    </row>
    <row r="25" spans="1:20" ht="15" thickBot="1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10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58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74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46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P17" sqref="P17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6" max="6" width="14.14062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5" max="15" width="10.85546875" bestFit="1" customWidth="1"/>
    <col min="16" max="16" width="11.28515625" customWidth="1"/>
    <col min="17" max="17" width="10.42578125" customWidth="1"/>
    <col min="18" max="18" width="16" customWidth="1"/>
  </cols>
  <sheetData>
    <row r="1" spans="1:20" ht="18.75">
      <c r="A1" s="93" t="s">
        <v>82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78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31.25">
      <c r="A15" s="58">
        <v>3</v>
      </c>
      <c r="B15" s="63" t="s">
        <v>38</v>
      </c>
      <c r="C15" s="65" t="s">
        <v>37</v>
      </c>
      <c r="D15" s="66">
        <v>204000</v>
      </c>
      <c r="E15" s="67">
        <v>43758</v>
      </c>
      <c r="F15" s="68" t="s">
        <v>39</v>
      </c>
      <c r="G15" s="41">
        <v>2.75</v>
      </c>
      <c r="H15" s="69">
        <v>204000</v>
      </c>
      <c r="I15" s="41"/>
      <c r="J15" s="41"/>
      <c r="K15" s="69"/>
      <c r="L15" s="69">
        <f>25500+8500+8500+8500</f>
        <v>51000</v>
      </c>
      <c r="M15" s="47">
        <f>H15+J15-L15</f>
        <v>153000</v>
      </c>
      <c r="N15" s="41"/>
      <c r="O15" s="70">
        <v>863.11</v>
      </c>
      <c r="P15" s="70">
        <f>447.59+2.39+68.07+404.27+2.08+61.48+431.35+362.66+372.99+63.68+342.29+324.86+0.88+61.63</f>
        <v>2946.2200000000003</v>
      </c>
      <c r="Q15" s="70">
        <f>476.47+2.66+1235.84+134.02+431.35+362.66+372.99+63.68</f>
        <v>3079.6699999999996</v>
      </c>
      <c r="R15" s="49">
        <f>O15+P15-Q15</f>
        <v>729.66000000000076</v>
      </c>
      <c r="S15" s="3"/>
      <c r="T15" s="3"/>
    </row>
    <row r="16" spans="1:20" ht="131.25">
      <c r="A16" s="64">
        <v>4</v>
      </c>
      <c r="B16" s="63" t="s">
        <v>69</v>
      </c>
      <c r="C16" s="65" t="s">
        <v>37</v>
      </c>
      <c r="D16" s="66">
        <v>216000</v>
      </c>
      <c r="E16" s="67">
        <v>43758</v>
      </c>
      <c r="F16" s="68" t="s">
        <v>39</v>
      </c>
      <c r="G16" s="41">
        <v>2.75</v>
      </c>
      <c r="H16" s="69">
        <v>216000</v>
      </c>
      <c r="I16" s="28"/>
      <c r="J16" s="28"/>
      <c r="K16" s="69"/>
      <c r="L16" s="69">
        <f>27000+9000+9000+9000</f>
        <v>54000</v>
      </c>
      <c r="M16" s="47">
        <f>H16+J16-L16</f>
        <v>162000</v>
      </c>
      <c r="N16" s="28"/>
      <c r="O16" s="70">
        <v>1492.43</v>
      </c>
      <c r="P16" s="70">
        <f>458.63+2.49+72.08+414.25+2.13+65.1+452.84+0.51+373.01+382.19+13.95+362.42+343.97+1.97+13.5</f>
        <v>2959.0399999999995</v>
      </c>
      <c r="Q16" s="70">
        <f>2.82+504.49+1764.16+141.8+536.68+0.51+10+373.01+0.51+382.19+13.95</f>
        <v>3730.1200000000003</v>
      </c>
      <c r="R16" s="49">
        <f>O16+P16-Q16</f>
        <v>721.349999999999</v>
      </c>
      <c r="S16" s="3"/>
      <c r="T16" s="3"/>
    </row>
    <row r="17" spans="1:20" ht="15">
      <c r="A17" s="35" t="s">
        <v>2</v>
      </c>
      <c r="B17" s="22"/>
      <c r="C17" s="23"/>
      <c r="D17" s="44">
        <f>D15+D16</f>
        <v>420000</v>
      </c>
      <c r="E17" s="44">
        <f t="shared" ref="E17:R17" si="0">E15+E16</f>
        <v>87516</v>
      </c>
      <c r="F17" s="44"/>
      <c r="G17" s="44">
        <f t="shared" si="0"/>
        <v>5.5</v>
      </c>
      <c r="H17" s="44">
        <f t="shared" si="0"/>
        <v>420000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105000</v>
      </c>
      <c r="M17" s="44">
        <f t="shared" si="0"/>
        <v>315000</v>
      </c>
      <c r="N17" s="44">
        <f t="shared" si="0"/>
        <v>0</v>
      </c>
      <c r="O17" s="44">
        <f t="shared" si="0"/>
        <v>2355.54</v>
      </c>
      <c r="P17" s="44">
        <f t="shared" si="0"/>
        <v>5905.26</v>
      </c>
      <c r="Q17" s="44">
        <f t="shared" si="0"/>
        <v>6809.79</v>
      </c>
      <c r="R17" s="44">
        <f t="shared" si="0"/>
        <v>1451.0099999999998</v>
      </c>
      <c r="S17" s="3"/>
      <c r="T17" s="3"/>
    </row>
    <row r="18" spans="1:20" ht="15">
      <c r="A18" s="100" t="s">
        <v>20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2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100" t="s">
        <v>21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2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420000</v>
      </c>
      <c r="E23" s="87"/>
      <c r="F23" s="89"/>
      <c r="G23" s="90"/>
      <c r="H23" s="91">
        <f>H17</f>
        <v>420000</v>
      </c>
      <c r="I23" s="91">
        <f t="shared" ref="I23:R23" si="1">I17</f>
        <v>0</v>
      </c>
      <c r="J23" s="91">
        <f t="shared" si="1"/>
        <v>0</v>
      </c>
      <c r="K23" s="91">
        <f t="shared" si="1"/>
        <v>0</v>
      </c>
      <c r="L23" s="91">
        <f t="shared" si="1"/>
        <v>105000</v>
      </c>
      <c r="M23" s="91">
        <f t="shared" si="1"/>
        <v>315000</v>
      </c>
      <c r="N23" s="91">
        <f t="shared" si="1"/>
        <v>0</v>
      </c>
      <c r="O23" s="91">
        <f t="shared" si="1"/>
        <v>2355.54</v>
      </c>
      <c r="P23" s="91">
        <f t="shared" si="1"/>
        <v>5905.26</v>
      </c>
      <c r="Q23" s="91">
        <f t="shared" si="1"/>
        <v>6809.79</v>
      </c>
      <c r="R23" s="91">
        <f t="shared" si="1"/>
        <v>1451.0099999999998</v>
      </c>
      <c r="S23" s="3"/>
      <c r="T23" s="3"/>
    </row>
    <row r="24" spans="1:20" ht="15" thickBot="1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56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75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40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2"/>
  <sheetViews>
    <sheetView view="pageBreakPreview" zoomScale="60" zoomScaleNormal="100" workbookViewId="0">
      <selection activeCell="Q22" sqref="Q22"/>
    </sheetView>
  </sheetViews>
  <sheetFormatPr defaultRowHeight="12.75"/>
  <cols>
    <col min="1" max="1" width="9" bestFit="1" customWidth="1"/>
    <col min="2" max="2" width="16.5703125" customWidth="1"/>
    <col min="3" max="3" width="10.140625" customWidth="1"/>
    <col min="4" max="4" width="15.28515625" customWidth="1"/>
    <col min="5" max="5" width="12" bestFit="1" customWidth="1"/>
    <col min="6" max="6" width="12" customWidth="1"/>
    <col min="7" max="7" width="9" bestFit="1" customWidth="1"/>
    <col min="8" max="8" width="17.5703125" customWidth="1"/>
    <col min="9" max="9" width="16" customWidth="1"/>
    <col min="10" max="10" width="15.28515625" customWidth="1"/>
    <col min="11" max="11" width="9.140625" bestFit="1" customWidth="1"/>
    <col min="12" max="12" width="19" customWidth="1"/>
    <col min="13" max="13" width="15.42578125" customWidth="1"/>
    <col min="14" max="15" width="9" bestFit="1" customWidth="1"/>
    <col min="16" max="16" width="12" customWidth="1"/>
    <col min="17" max="17" width="13.42578125" customWidth="1"/>
    <col min="18" max="18" width="14.28515625" customWidth="1"/>
  </cols>
  <sheetData>
    <row r="1" spans="1:18" ht="18.75">
      <c r="A1" s="93" t="s">
        <v>78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81"/>
      <c r="N5" s="81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</row>
    <row r="9" spans="1:18" ht="78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80" t="s">
        <v>14</v>
      </c>
      <c r="N9" s="80" t="s">
        <v>16</v>
      </c>
      <c r="O9" s="97"/>
      <c r="P9" s="97"/>
      <c r="Q9" s="97"/>
      <c r="R9" s="97"/>
    </row>
    <row r="10" spans="1:18">
      <c r="A10" s="32">
        <v>1</v>
      </c>
      <c r="B10" s="82">
        <v>2</v>
      </c>
      <c r="C10" s="12">
        <v>3</v>
      </c>
      <c r="D10" s="82">
        <v>4</v>
      </c>
      <c r="E10" s="12">
        <v>5</v>
      </c>
      <c r="F10" s="82">
        <v>6</v>
      </c>
      <c r="G10" s="32">
        <v>7</v>
      </c>
      <c r="H10" s="82">
        <v>8</v>
      </c>
      <c r="I10" s="12">
        <v>9</v>
      </c>
      <c r="J10" s="82">
        <v>10</v>
      </c>
      <c r="K10" s="12">
        <v>11</v>
      </c>
      <c r="L10" s="82">
        <v>12</v>
      </c>
      <c r="M10" s="12">
        <v>13</v>
      </c>
      <c r="N10" s="82">
        <v>14</v>
      </c>
      <c r="O10" s="12">
        <v>15</v>
      </c>
      <c r="P10" s="82">
        <v>16</v>
      </c>
      <c r="Q10" s="12">
        <v>17</v>
      </c>
      <c r="R10" s="82">
        <v>18</v>
      </c>
    </row>
    <row r="11" spans="1:18" ht="14.2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18" ht="19.5">
      <c r="A15" s="79"/>
      <c r="B15" s="63"/>
      <c r="C15" s="65"/>
      <c r="D15" s="66"/>
      <c r="E15" s="67"/>
      <c r="F15" s="68"/>
      <c r="G15" s="83"/>
      <c r="H15" s="69"/>
      <c r="I15" s="83"/>
      <c r="J15" s="83"/>
      <c r="K15" s="69"/>
      <c r="L15" s="69"/>
      <c r="M15" s="47"/>
      <c r="N15" s="83"/>
      <c r="O15" s="70"/>
      <c r="P15" s="70"/>
      <c r="Q15" s="70"/>
      <c r="R15" s="49"/>
    </row>
    <row r="16" spans="1:18" ht="19.5">
      <c r="A16" s="79"/>
      <c r="B16" s="63"/>
      <c r="C16" s="65"/>
      <c r="D16" s="66"/>
      <c r="E16" s="67"/>
      <c r="F16" s="68"/>
      <c r="G16" s="83"/>
      <c r="H16" s="69"/>
      <c r="I16" s="83"/>
      <c r="J16" s="83"/>
      <c r="K16" s="69"/>
      <c r="L16" s="69"/>
      <c r="M16" s="47"/>
      <c r="N16" s="83"/>
      <c r="O16" s="70"/>
      <c r="P16" s="70"/>
      <c r="Q16" s="70"/>
      <c r="R16" s="49"/>
    </row>
    <row r="17" spans="1:18" ht="19.5">
      <c r="A17" s="79"/>
      <c r="B17" s="63"/>
      <c r="C17" s="65"/>
      <c r="D17" s="66"/>
      <c r="E17" s="67"/>
      <c r="F17" s="68"/>
      <c r="G17" s="83"/>
      <c r="H17" s="69"/>
      <c r="I17" s="83"/>
      <c r="J17" s="83"/>
      <c r="K17" s="69"/>
      <c r="L17" s="69"/>
      <c r="M17" s="47"/>
      <c r="N17" s="83"/>
      <c r="O17" s="70"/>
      <c r="P17" s="70"/>
      <c r="Q17" s="70"/>
      <c r="R17" s="49"/>
    </row>
    <row r="18" spans="1:18" ht="19.5">
      <c r="A18" s="64"/>
      <c r="B18" s="63"/>
      <c r="C18" s="65"/>
      <c r="D18" s="66"/>
      <c r="E18" s="67"/>
      <c r="F18" s="68"/>
      <c r="G18" s="83"/>
      <c r="H18" s="69"/>
      <c r="I18" s="28"/>
      <c r="J18" s="28"/>
      <c r="K18" s="69"/>
      <c r="L18" s="69"/>
      <c r="M18" s="47"/>
      <c r="N18" s="28"/>
      <c r="O18" s="70"/>
      <c r="P18" s="70"/>
      <c r="Q18" s="70"/>
      <c r="R18" s="49"/>
    </row>
    <row r="19" spans="1:18" ht="15">
      <c r="A19" s="35" t="s">
        <v>2</v>
      </c>
      <c r="B19" s="22"/>
      <c r="C19" s="23"/>
      <c r="D19" s="44">
        <f>D15+D16+D17+D18</f>
        <v>0</v>
      </c>
      <c r="E19" s="44"/>
      <c r="F19" s="44"/>
      <c r="G19" s="44"/>
      <c r="H19" s="44">
        <f t="shared" ref="H19:R19" si="0">H15+H16+H17+H18</f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</row>
    <row r="20" spans="1:18" ht="14.25">
      <c r="A20" s="100" t="s">
        <v>20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</row>
    <row r="21" spans="1:18" ht="75">
      <c r="A21" s="33" t="s">
        <v>60</v>
      </c>
      <c r="B21" s="22" t="s">
        <v>61</v>
      </c>
      <c r="C21" s="23" t="s">
        <v>48</v>
      </c>
      <c r="D21" s="44">
        <v>2000000</v>
      </c>
      <c r="E21" s="45">
        <v>43677</v>
      </c>
      <c r="F21" s="26" t="s">
        <v>62</v>
      </c>
      <c r="G21" s="48">
        <v>8.77</v>
      </c>
      <c r="H21" s="27">
        <v>2000000</v>
      </c>
      <c r="I21" s="72">
        <v>43315</v>
      </c>
      <c r="J21" s="28"/>
      <c r="K21" s="28"/>
      <c r="L21" s="29">
        <v>2000000</v>
      </c>
      <c r="M21" s="28">
        <f>H21-L21</f>
        <v>0</v>
      </c>
      <c r="N21" s="28"/>
      <c r="O21" s="28"/>
      <c r="P21" s="48">
        <v>102316.67</v>
      </c>
      <c r="Q21" s="48">
        <v>102316.67</v>
      </c>
      <c r="R21" s="34">
        <f>O21+P21-Q21</f>
        <v>0</v>
      </c>
    </row>
    <row r="22" spans="1:18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</row>
    <row r="23" spans="1:18" ht="14.25">
      <c r="A23" s="100" t="s">
        <v>21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2"/>
    </row>
    <row r="24" spans="1:18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>
        <f>K21</f>
        <v>0</v>
      </c>
      <c r="L24" s="28">
        <f>L21</f>
        <v>2000000</v>
      </c>
      <c r="M24" s="28"/>
      <c r="N24" s="28"/>
      <c r="O24" s="28"/>
      <c r="P24" s="28">
        <v>0</v>
      </c>
      <c r="Q24" s="28">
        <v>0</v>
      </c>
      <c r="R24" s="34">
        <f>O24+P24-Q24</f>
        <v>0</v>
      </c>
    </row>
    <row r="25" spans="1:18" ht="15">
      <c r="A25" s="35" t="s">
        <v>31</v>
      </c>
      <c r="B25" s="22"/>
      <c r="C25" s="23"/>
      <c r="D25" s="87">
        <f>D19</f>
        <v>0</v>
      </c>
      <c r="E25" s="87"/>
      <c r="F25" s="89"/>
      <c r="G25" s="90"/>
      <c r="H25" s="91">
        <f>H21</f>
        <v>2000000</v>
      </c>
      <c r="I25" s="91">
        <f t="shared" ref="I25:Q25" si="1">I21</f>
        <v>43315</v>
      </c>
      <c r="J25" s="91">
        <f t="shared" si="1"/>
        <v>0</v>
      </c>
      <c r="K25" s="91">
        <f t="shared" si="1"/>
        <v>0</v>
      </c>
      <c r="L25" s="91">
        <f t="shared" si="1"/>
        <v>2000000</v>
      </c>
      <c r="M25" s="91">
        <f t="shared" si="1"/>
        <v>0</v>
      </c>
      <c r="N25" s="91">
        <f t="shared" si="1"/>
        <v>0</v>
      </c>
      <c r="O25" s="91">
        <f t="shared" si="1"/>
        <v>0</v>
      </c>
      <c r="P25" s="91">
        <f t="shared" si="1"/>
        <v>102316.67</v>
      </c>
      <c r="Q25" s="91">
        <f t="shared" si="1"/>
        <v>102316.67</v>
      </c>
      <c r="R25" s="91">
        <f t="shared" ref="R25" si="2">R19</f>
        <v>0</v>
      </c>
    </row>
    <row r="26" spans="1:18" ht="15" thickBot="1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10"/>
    </row>
    <row r="27" spans="1:18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</row>
    <row r="28" spans="1:18">
      <c r="A28" s="36" t="s">
        <v>56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36" t="s">
        <v>75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36" t="s">
        <v>40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</row>
  </sheetData>
  <mergeCells count="24"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26" right="0.23" top="0.54" bottom="0.34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P17" sqref="P17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6" max="6" width="12.4257812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9.28515625" bestFit="1" customWidth="1"/>
    <col min="15" max="15" width="11.85546875" customWidth="1"/>
    <col min="16" max="16" width="12.140625" customWidth="1"/>
    <col min="17" max="17" width="12.5703125" customWidth="1"/>
    <col min="18" max="18" width="17.42578125" customWidth="1"/>
  </cols>
  <sheetData>
    <row r="1" spans="1:20" ht="18.75">
      <c r="A1" s="93" t="s">
        <v>81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78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9.5">
      <c r="A15" s="41"/>
      <c r="B15" s="63"/>
      <c r="C15" s="63"/>
      <c r="D15" s="66"/>
      <c r="E15" s="67"/>
      <c r="F15" s="59"/>
      <c r="G15" s="41"/>
      <c r="H15" s="69"/>
      <c r="I15" s="41"/>
      <c r="J15" s="41"/>
      <c r="K15" s="41"/>
      <c r="L15" s="69"/>
      <c r="M15" s="47"/>
      <c r="N15" s="41"/>
      <c r="O15" s="70"/>
      <c r="P15" s="70"/>
      <c r="Q15" s="70"/>
      <c r="R15" s="49"/>
      <c r="S15" s="3"/>
      <c r="T15" s="3"/>
    </row>
    <row r="16" spans="1:20" ht="150">
      <c r="A16" s="62">
        <v>2</v>
      </c>
      <c r="B16" s="63" t="s">
        <v>43</v>
      </c>
      <c r="C16" s="63" t="s">
        <v>37</v>
      </c>
      <c r="D16" s="66">
        <v>836000</v>
      </c>
      <c r="E16" s="67">
        <v>43758</v>
      </c>
      <c r="F16" s="59" t="s">
        <v>44</v>
      </c>
      <c r="G16" s="41">
        <v>2.75</v>
      </c>
      <c r="H16" s="69">
        <v>836000</v>
      </c>
      <c r="I16" s="28"/>
      <c r="J16" s="28"/>
      <c r="K16" s="28"/>
      <c r="L16" s="69"/>
      <c r="M16" s="47">
        <f>H16+J16-L16</f>
        <v>836000</v>
      </c>
      <c r="N16" s="28"/>
      <c r="O16" s="70">
        <v>8699.89</v>
      </c>
      <c r="P16" s="70">
        <f>1834.24+108.5+9.77+1656.73+65.1+8.53+1834.24+108.5+8.99+1775.07+108.5+9.48+1834.24+130.2+1775.07+1834.24+105+9.63</f>
        <v>13216.029999999999</v>
      </c>
      <c r="Q16" s="70">
        <f>108.5+8.99+1775.07+1834.24+130.2</f>
        <v>3857</v>
      </c>
      <c r="R16" s="49">
        <f>O16+P16-Q16</f>
        <v>18058.919999999998</v>
      </c>
      <c r="S16" s="3"/>
      <c r="T16" s="3"/>
    </row>
    <row r="17" spans="1:20" ht="15">
      <c r="A17" s="43" t="s">
        <v>2</v>
      </c>
      <c r="B17" s="22"/>
      <c r="C17" s="22"/>
      <c r="D17" s="44">
        <f>D15+D16</f>
        <v>836000</v>
      </c>
      <c r="E17" s="44"/>
      <c r="F17" s="44"/>
      <c r="G17" s="44"/>
      <c r="H17" s="44">
        <f t="shared" ref="H17:R17" si="0">H15+H16</f>
        <v>836000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836000</v>
      </c>
      <c r="N17" s="44">
        <f t="shared" si="0"/>
        <v>0</v>
      </c>
      <c r="O17" s="44">
        <f t="shared" si="0"/>
        <v>8699.89</v>
      </c>
      <c r="P17" s="44">
        <f t="shared" si="0"/>
        <v>13216.029999999999</v>
      </c>
      <c r="Q17" s="44">
        <f t="shared" si="0"/>
        <v>3857</v>
      </c>
      <c r="R17" s="44">
        <f t="shared" si="0"/>
        <v>18058.919999999998</v>
      </c>
      <c r="S17" s="3"/>
      <c r="T17" s="3"/>
    </row>
    <row r="18" spans="1:20" ht="15">
      <c r="A18" s="100" t="s">
        <v>20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2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100" t="s">
        <v>21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2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836000</v>
      </c>
      <c r="E23" s="87"/>
      <c r="F23" s="87"/>
      <c r="G23" s="87"/>
      <c r="H23" s="87">
        <f t="shared" ref="H23:R23" si="1">H17</f>
        <v>836000</v>
      </c>
      <c r="I23" s="87">
        <f t="shared" si="1"/>
        <v>0</v>
      </c>
      <c r="J23" s="87">
        <f t="shared" si="1"/>
        <v>0</v>
      </c>
      <c r="K23" s="87">
        <f t="shared" si="1"/>
        <v>0</v>
      </c>
      <c r="L23" s="87">
        <f t="shared" si="1"/>
        <v>0</v>
      </c>
      <c r="M23" s="87">
        <f t="shared" si="1"/>
        <v>836000</v>
      </c>
      <c r="N23" s="87">
        <f t="shared" si="1"/>
        <v>0</v>
      </c>
      <c r="O23" s="87">
        <f t="shared" si="1"/>
        <v>8699.89</v>
      </c>
      <c r="P23" s="87">
        <f t="shared" si="1"/>
        <v>13216.029999999999</v>
      </c>
      <c r="Q23" s="87">
        <f t="shared" si="1"/>
        <v>3857</v>
      </c>
      <c r="R23" s="87">
        <f t="shared" si="1"/>
        <v>18058.919999999998</v>
      </c>
      <c r="S23" s="3"/>
      <c r="T23" s="3"/>
    </row>
    <row r="24" spans="1:20" ht="15" thickBot="1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57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76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42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9"/>
  <sheetViews>
    <sheetView topLeftCell="D5" zoomScaleNormal="100" workbookViewId="0">
      <selection activeCell="P15" sqref="P15"/>
    </sheetView>
  </sheetViews>
  <sheetFormatPr defaultRowHeight="12.75"/>
  <cols>
    <col min="1" max="1" width="9.28515625" bestFit="1" customWidth="1"/>
    <col min="2" max="2" width="13.140625" customWidth="1"/>
    <col min="3" max="3" width="9.28515625" bestFit="1" customWidth="1"/>
    <col min="4" max="4" width="14.140625" bestFit="1" customWidth="1"/>
    <col min="5" max="7" width="9.42578125" bestFit="1" customWidth="1"/>
    <col min="8" max="8" width="12.140625" customWidth="1"/>
    <col min="9" max="9" width="9.42578125" bestFit="1" customWidth="1"/>
    <col min="10" max="10" width="12" customWidth="1"/>
    <col min="11" max="11" width="9.42578125" bestFit="1" customWidth="1"/>
    <col min="12" max="12" width="11.7109375" bestFit="1" customWidth="1"/>
    <col min="13" max="13" width="12.85546875" customWidth="1"/>
    <col min="14" max="14" width="11.7109375" bestFit="1" customWidth="1"/>
    <col min="15" max="15" width="10.5703125" bestFit="1" customWidth="1"/>
    <col min="16" max="16" width="11.7109375" bestFit="1" customWidth="1"/>
    <col min="17" max="17" width="21.28515625" customWidth="1"/>
    <col min="18" max="18" width="10.5703125" bestFit="1" customWidth="1"/>
  </cols>
  <sheetData>
    <row r="1" spans="1:20" ht="18.7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67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4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5">
      <c r="A15" s="33">
        <v>1</v>
      </c>
      <c r="B15" s="22"/>
      <c r="C15" s="23"/>
      <c r="D15" s="44">
        <f>Шала!D19+Кривцы!D18+Авдеево!D23+Красноборский!D23</f>
        <v>6726000</v>
      </c>
      <c r="E15" s="44"/>
      <c r="F15" s="44"/>
      <c r="G15" s="44">
        <f>Шала!G19+Кривцы!G18+Авдеево!G23+Красноборский!G23</f>
        <v>0</v>
      </c>
      <c r="H15" s="44">
        <f>Шала!H19+Кривцы!H18+Авдеево!H23+Красноборский!H23</f>
        <v>6267500</v>
      </c>
      <c r="I15" s="44">
        <f>Шала!I19+Кривцы!I18+Авдеево!I23+Красноборский!I23</f>
        <v>0</v>
      </c>
      <c r="J15" s="44">
        <f>Шала!J19+Кривцы!J18+Авдеево!J23+Красноборский!J23</f>
        <v>0</v>
      </c>
      <c r="K15" s="44">
        <f>Шала!K19+Кривцы!K18+Авдеево!K23+Красноборский!K23</f>
        <v>0</v>
      </c>
      <c r="L15" s="44">
        <f>Шала!L19+Кривцы!L18+Авдеево!L23+Красноборский!L23</f>
        <v>105000</v>
      </c>
      <c r="M15" s="44">
        <f>Шала!M19+Кривцы!M18+Авдеево!M23+Красноборский!M23</f>
        <v>6162500</v>
      </c>
      <c r="N15" s="44">
        <f>Шала!N19+Кривцы!N18+Авдеево!N23+Красноборский!N23</f>
        <v>3184000</v>
      </c>
      <c r="O15" s="44">
        <f>Шала!O19+Кривцы!O18+Авдеево!O23+Красноборский!O23</f>
        <v>106228.51000000001</v>
      </c>
      <c r="P15" s="44">
        <f>Шала!P19+Кривцы!P18+Авдеево!P23+Красноборский!P23</f>
        <v>95683.489999999976</v>
      </c>
      <c r="Q15" s="44">
        <f>Шала!Q19+Кривцы!Q18+Авдеево!Q23+Красноборский!Q23</f>
        <v>54453.24</v>
      </c>
      <c r="R15" s="44">
        <f>Шала!R19+Кривцы!R18+Авдеево!R23+Красноборский!R23</f>
        <v>147458.76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100" t="s">
        <v>20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2"/>
      <c r="S17" s="3"/>
      <c r="T17" s="3"/>
    </row>
    <row r="18" spans="1:20" ht="120">
      <c r="A18" s="33"/>
      <c r="B18" s="22" t="s">
        <v>61</v>
      </c>
      <c r="C18" s="23" t="s">
        <v>48</v>
      </c>
      <c r="D18" s="44">
        <v>2000000</v>
      </c>
      <c r="E18" s="25"/>
      <c r="F18" s="26"/>
      <c r="G18" s="28"/>
      <c r="H18" s="27"/>
      <c r="I18" s="28"/>
      <c r="J18" s="28">
        <v>2000000</v>
      </c>
      <c r="K18" s="28"/>
      <c r="L18" s="29"/>
      <c r="M18" s="28">
        <f>J18-L18</f>
        <v>2000000</v>
      </c>
      <c r="N18" s="28"/>
      <c r="O18" s="28"/>
      <c r="P18" s="48">
        <f>Город!P21</f>
        <v>102316.67</v>
      </c>
      <c r="Q18" s="48">
        <f>Город!Q21</f>
        <v>102316.67</v>
      </c>
      <c r="R18" s="34">
        <f>O18+P18-Q18</f>
        <v>0</v>
      </c>
      <c r="S18" s="3"/>
      <c r="T18" s="3"/>
    </row>
    <row r="19" spans="1:20" ht="15">
      <c r="A19" s="35" t="s">
        <v>2</v>
      </c>
      <c r="B19" s="22"/>
      <c r="C19" s="23"/>
      <c r="D19" s="44">
        <f>D18</f>
        <v>2000000</v>
      </c>
      <c r="E19" s="44">
        <f t="shared" ref="E19:R19" si="0">E18</f>
        <v>0</v>
      </c>
      <c r="F19" s="44">
        <f t="shared" si="0"/>
        <v>0</v>
      </c>
      <c r="G19" s="44">
        <f t="shared" si="0"/>
        <v>0</v>
      </c>
      <c r="H19" s="44">
        <f t="shared" si="0"/>
        <v>0</v>
      </c>
      <c r="I19" s="44">
        <f t="shared" si="0"/>
        <v>0</v>
      </c>
      <c r="J19" s="44">
        <f t="shared" si="0"/>
        <v>2000000</v>
      </c>
      <c r="K19" s="44">
        <f t="shared" si="0"/>
        <v>0</v>
      </c>
      <c r="L19" s="44">
        <f t="shared" si="0"/>
        <v>0</v>
      </c>
      <c r="M19" s="44">
        <f t="shared" si="0"/>
        <v>2000000</v>
      </c>
      <c r="N19" s="44">
        <f t="shared" si="0"/>
        <v>0</v>
      </c>
      <c r="O19" s="44">
        <f t="shared" si="0"/>
        <v>0</v>
      </c>
      <c r="P19" s="44">
        <f t="shared" si="0"/>
        <v>102316.67</v>
      </c>
      <c r="Q19" s="44">
        <f t="shared" si="0"/>
        <v>102316.67</v>
      </c>
      <c r="R19" s="44">
        <f t="shared" si="0"/>
        <v>0</v>
      </c>
      <c r="S19" s="3"/>
      <c r="T19" s="3"/>
    </row>
    <row r="20" spans="1:20" ht="15">
      <c r="A20" s="100" t="s">
        <v>21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63</v>
      </c>
      <c r="B22" s="22"/>
      <c r="C22" s="23"/>
      <c r="D22" s="87">
        <f>D15+D19</f>
        <v>8726000</v>
      </c>
      <c r="E22" s="87">
        <f t="shared" ref="E22:R22" si="1">E15+E19</f>
        <v>0</v>
      </c>
      <c r="F22" s="87">
        <f t="shared" si="1"/>
        <v>0</v>
      </c>
      <c r="G22" s="87">
        <f t="shared" si="1"/>
        <v>0</v>
      </c>
      <c r="H22" s="87">
        <f t="shared" si="1"/>
        <v>6267500</v>
      </c>
      <c r="I22" s="87">
        <f t="shared" si="1"/>
        <v>0</v>
      </c>
      <c r="J22" s="87">
        <f t="shared" si="1"/>
        <v>2000000</v>
      </c>
      <c r="K22" s="87">
        <f t="shared" si="1"/>
        <v>0</v>
      </c>
      <c r="L22" s="87">
        <f t="shared" si="1"/>
        <v>105000</v>
      </c>
      <c r="M22" s="87">
        <f t="shared" si="1"/>
        <v>8162500</v>
      </c>
      <c r="N22" s="87">
        <f t="shared" si="1"/>
        <v>3184000</v>
      </c>
      <c r="O22" s="87">
        <f t="shared" si="1"/>
        <v>106228.51000000001</v>
      </c>
      <c r="P22" s="87">
        <f t="shared" si="1"/>
        <v>198000.15999999997</v>
      </c>
      <c r="Q22" s="87">
        <f t="shared" si="1"/>
        <v>156769.91</v>
      </c>
      <c r="R22" s="87">
        <f t="shared" si="1"/>
        <v>147458.76</v>
      </c>
      <c r="S22" s="3"/>
      <c r="T22" s="3"/>
    </row>
    <row r="23" spans="1:20" ht="15" thickBot="1">
      <c r="A23" s="108" t="s">
        <v>32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64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70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65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2"/>
  <sheetViews>
    <sheetView tabSelected="1" topLeftCell="C4" workbookViewId="0">
      <selection activeCell="Q19" sqref="Q19"/>
    </sheetView>
  </sheetViews>
  <sheetFormatPr defaultRowHeight="12.75"/>
  <cols>
    <col min="4" max="4" width="12.42578125" customWidth="1"/>
    <col min="8" max="8" width="11.85546875" customWidth="1"/>
    <col min="9" max="9" width="13.28515625" customWidth="1"/>
    <col min="10" max="10" width="13.7109375" customWidth="1"/>
    <col min="12" max="12" width="12.7109375" customWidth="1"/>
    <col min="13" max="13" width="14.42578125" customWidth="1"/>
    <col min="14" max="14" width="10.140625" customWidth="1"/>
    <col min="16" max="16" width="12.5703125" customWidth="1"/>
    <col min="17" max="17" width="11.42578125" customWidth="1"/>
  </cols>
  <sheetData>
    <row r="1" spans="1:18" ht="18.7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 t="s">
        <v>77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84"/>
      <c r="N5" s="84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</row>
    <row r="9" spans="1:18" ht="67.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86" t="s">
        <v>14</v>
      </c>
      <c r="N9" s="86" t="s">
        <v>16</v>
      </c>
      <c r="O9" s="97"/>
      <c r="P9" s="97"/>
      <c r="Q9" s="97"/>
      <c r="R9" s="97"/>
    </row>
    <row r="10" spans="1:18">
      <c r="A10" s="32">
        <v>1</v>
      </c>
      <c r="B10" s="85">
        <v>2</v>
      </c>
      <c r="C10" s="12">
        <v>3</v>
      </c>
      <c r="D10" s="85">
        <v>4</v>
      </c>
      <c r="E10" s="12">
        <v>5</v>
      </c>
      <c r="F10" s="85">
        <v>6</v>
      </c>
      <c r="G10" s="32">
        <v>7</v>
      </c>
      <c r="H10" s="85">
        <v>8</v>
      </c>
      <c r="I10" s="12">
        <v>9</v>
      </c>
      <c r="J10" s="85">
        <v>10</v>
      </c>
      <c r="K10" s="12">
        <v>11</v>
      </c>
      <c r="L10" s="85">
        <v>12</v>
      </c>
      <c r="M10" s="12">
        <v>13</v>
      </c>
      <c r="N10" s="85">
        <v>14</v>
      </c>
      <c r="O10" s="12">
        <v>15</v>
      </c>
      <c r="P10" s="85">
        <v>16</v>
      </c>
      <c r="Q10" s="12">
        <v>17</v>
      </c>
      <c r="R10" s="85">
        <v>18</v>
      </c>
    </row>
    <row r="11" spans="1:18" ht="14.2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18" ht="15">
      <c r="A15" s="33">
        <v>1</v>
      </c>
      <c r="B15" s="22"/>
      <c r="C15" s="23"/>
      <c r="D15" s="44">
        <f>Шала!D19+Кривцы!D18+Авдеево!D23+Красноборский!D23+район!D25</f>
        <v>6726000</v>
      </c>
      <c r="E15" s="44">
        <f>Шала!E19+Кривцы!E18+Авдеево!E23+Красноборский!E23+район!E25</f>
        <v>0</v>
      </c>
      <c r="F15" s="44">
        <f>Шала!F19+Кривцы!F18+Авдеево!F23+Красноборский!F23+район!F25</f>
        <v>0</v>
      </c>
      <c r="G15" s="44">
        <f>Шала!G19+Кривцы!G18+Авдеево!G23+Красноборский!G23+район!G25</f>
        <v>0</v>
      </c>
      <c r="H15" s="44">
        <f>Шала!H19+Кривцы!H18+Авдеево!H23+Красноборский!H23+район!H25</f>
        <v>38246500</v>
      </c>
      <c r="I15" s="44">
        <f>Шала!I19+Кривцы!I18+Авдеево!I23+Красноборский!I23+район!I25</f>
        <v>0</v>
      </c>
      <c r="J15" s="44">
        <f>Шала!J19+Кривцы!J18+Авдеево!J23+Красноборский!J23+район!J25</f>
        <v>0</v>
      </c>
      <c r="K15" s="44">
        <f>Шала!K19+Кривцы!K18+Авдеево!K23+Красноборский!K23+район!K25</f>
        <v>0</v>
      </c>
      <c r="L15" s="44">
        <f>Шала!L19+Кривцы!L18+Авдеево!L23+Красноборский!L23+район!L25</f>
        <v>19887000</v>
      </c>
      <c r="M15" s="44">
        <f>Шала!M19+Кривцы!M18+Авдеево!M23+Красноборский!M23+район!M25</f>
        <v>18359500</v>
      </c>
      <c r="N15" s="44">
        <f>Шала!N19+Кривцы!N18+Авдеево!N23+Красноборский!N23+район!N25</f>
        <v>3184000</v>
      </c>
      <c r="O15" s="44">
        <f>Шала!O19+Кривцы!O18+Авдеево!O23+Красноборский!O23+район!O25</f>
        <v>106228.51000000001</v>
      </c>
      <c r="P15" s="44">
        <f>Шала!P19+Кривцы!P18+Авдеево!P23+Красноборский!P23+район!P25</f>
        <v>415023.93</v>
      </c>
      <c r="Q15" s="44">
        <f>Шала!Q19+Кривцы!Q18+Авдеево!Q23+Красноборский!Q23+район!Q25</f>
        <v>367586.19</v>
      </c>
      <c r="R15" s="44">
        <f>Шала!R19+Кривцы!R18+Авдеево!R23+Красноборский!R23+район!R25</f>
        <v>153666.25000000003</v>
      </c>
    </row>
    <row r="16" spans="1:18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</row>
    <row r="17" spans="1:18" ht="14.25">
      <c r="A17" s="100" t="s">
        <v>20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2"/>
    </row>
    <row r="18" spans="1:18" ht="165">
      <c r="A18" s="33"/>
      <c r="B18" s="22" t="s">
        <v>61</v>
      </c>
      <c r="C18" s="23" t="s">
        <v>48</v>
      </c>
      <c r="D18" s="44">
        <v>2000000</v>
      </c>
      <c r="E18" s="25"/>
      <c r="F18" s="26"/>
      <c r="G18" s="28"/>
      <c r="H18" s="27">
        <v>2000000</v>
      </c>
      <c r="I18" s="28"/>
      <c r="J18" s="28"/>
      <c r="K18" s="28"/>
      <c r="L18" s="29">
        <v>2000000</v>
      </c>
      <c r="M18" s="28">
        <f>H18+J18-L18</f>
        <v>0</v>
      </c>
      <c r="N18" s="28"/>
      <c r="O18" s="28"/>
      <c r="P18" s="48">
        <v>102316.67</v>
      </c>
      <c r="Q18" s="48">
        <v>102316.67</v>
      </c>
      <c r="R18" s="34">
        <f>O18+P18-Q18</f>
        <v>0</v>
      </c>
    </row>
    <row r="19" spans="1:18" ht="15">
      <c r="A19" s="35" t="s">
        <v>2</v>
      </c>
      <c r="B19" s="22"/>
      <c r="C19" s="23"/>
      <c r="D19" s="44">
        <f>D18+район!D32</f>
        <v>61000000</v>
      </c>
      <c r="E19" s="44">
        <f>E18+район!E32</f>
        <v>0</v>
      </c>
      <c r="F19" s="44">
        <f>F18+район!F32</f>
        <v>0</v>
      </c>
      <c r="G19" s="44">
        <f>G18+район!G32</f>
        <v>0</v>
      </c>
      <c r="H19" s="44">
        <f>H18+район!H32</f>
        <v>46657000</v>
      </c>
      <c r="I19" s="44">
        <f>I18+район!I32</f>
        <v>0</v>
      </c>
      <c r="J19" s="44">
        <f>J18+район!J32</f>
        <v>0</v>
      </c>
      <c r="K19" s="44">
        <f>K18+район!K32</f>
        <v>0</v>
      </c>
      <c r="L19" s="44">
        <f>L18+район!L32</f>
        <v>3757000</v>
      </c>
      <c r="M19" s="44">
        <f>M18+район!M32</f>
        <v>42900000</v>
      </c>
      <c r="N19" s="44">
        <f>N18+район!N32</f>
        <v>0</v>
      </c>
      <c r="O19" s="44">
        <f>O18+район!O32</f>
        <v>0</v>
      </c>
      <c r="P19" s="44">
        <f>P18+район!P32</f>
        <v>2286419.88</v>
      </c>
      <c r="Q19" s="44">
        <f>Q18+район!Q32</f>
        <v>2286419.88</v>
      </c>
      <c r="R19" s="44">
        <f>R18+район!R32</f>
        <v>0</v>
      </c>
    </row>
    <row r="20" spans="1:18" ht="14.25">
      <c r="A20" s="100" t="s">
        <v>21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</row>
    <row r="21" spans="1:18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</row>
    <row r="22" spans="1:18" ht="15">
      <c r="A22" s="35" t="s">
        <v>63</v>
      </c>
      <c r="B22" s="22"/>
      <c r="C22" s="23"/>
      <c r="D22" s="44">
        <f>D15+D19</f>
        <v>67726000</v>
      </c>
      <c r="E22" s="44">
        <f t="shared" ref="E22:R22" si="0">E15+E19</f>
        <v>0</v>
      </c>
      <c r="F22" s="44">
        <f t="shared" si="0"/>
        <v>0</v>
      </c>
      <c r="G22" s="44">
        <f t="shared" si="0"/>
        <v>0</v>
      </c>
      <c r="H22" s="44">
        <f t="shared" si="0"/>
        <v>84903500</v>
      </c>
      <c r="I22" s="44">
        <f t="shared" si="0"/>
        <v>0</v>
      </c>
      <c r="J22" s="44">
        <f t="shared" si="0"/>
        <v>0</v>
      </c>
      <c r="K22" s="44">
        <f t="shared" si="0"/>
        <v>0</v>
      </c>
      <c r="L22" s="44">
        <f t="shared" si="0"/>
        <v>23644000</v>
      </c>
      <c r="M22" s="44">
        <f t="shared" si="0"/>
        <v>61259500</v>
      </c>
      <c r="N22" s="44">
        <f t="shared" si="0"/>
        <v>3184000</v>
      </c>
      <c r="O22" s="44">
        <f t="shared" si="0"/>
        <v>106228.51000000001</v>
      </c>
      <c r="P22" s="44">
        <f t="shared" si="0"/>
        <v>2701443.81</v>
      </c>
      <c r="Q22" s="44">
        <f t="shared" si="0"/>
        <v>2654006.0699999998</v>
      </c>
      <c r="R22" s="44">
        <f t="shared" si="0"/>
        <v>153666.25000000003</v>
      </c>
    </row>
  </sheetData>
  <mergeCells count="23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0:R20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район</vt:lpstr>
      <vt:lpstr>Шала</vt:lpstr>
      <vt:lpstr>Кривцы</vt:lpstr>
      <vt:lpstr>Красноборский</vt:lpstr>
      <vt:lpstr>Город</vt:lpstr>
      <vt:lpstr>Авдеево</vt:lpstr>
      <vt:lpstr>СВОД</vt:lpstr>
      <vt:lpstr>Консолидация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2019-04-22T13:11:31Z</cp:lastPrinted>
  <dcterms:created xsi:type="dcterms:W3CDTF">2006-06-05T06:40:26Z</dcterms:created>
  <dcterms:modified xsi:type="dcterms:W3CDTF">2019-08-06T13:45:16Z</dcterms:modified>
</cp:coreProperties>
</file>