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P20" i="2"/>
  <c r="P19"/>
  <c r="P17"/>
  <c r="P16" i="5"/>
  <c r="P15"/>
  <c r="P18" i="3"/>
  <c r="Q16" i="5" l="1"/>
  <c r="P16" i="6"/>
  <c r="P17" i="3"/>
  <c r="P16"/>
  <c r="P15"/>
  <c r="Q15" i="5"/>
  <c r="L15"/>
  <c r="L16"/>
  <c r="P31" i="2"/>
  <c r="P30"/>
  <c r="P28"/>
  <c r="Q20"/>
  <c r="Q19"/>
  <c r="Q17"/>
  <c r="L21"/>
  <c r="L23"/>
  <c r="L22"/>
  <c r="L20"/>
  <c r="L19"/>
  <c r="L17"/>
  <c r="Q18" i="9" l="1"/>
  <c r="P18"/>
  <c r="Q18" i="7"/>
  <c r="P18"/>
  <c r="Q31" i="2" l="1"/>
  <c r="Q30"/>
  <c r="Q28"/>
  <c r="P25" i="8"/>
  <c r="L25" i="2"/>
  <c r="Q17" i="5"/>
  <c r="N25" i="2"/>
  <c r="O25"/>
  <c r="P25"/>
  <c r="M18" i="9"/>
  <c r="N25" i="8"/>
  <c r="O25"/>
  <c r="Q25"/>
  <c r="I25"/>
  <c r="J25"/>
  <c r="K25"/>
  <c r="L25"/>
  <c r="M25"/>
  <c r="H25"/>
  <c r="M21"/>
  <c r="E17" i="5"/>
  <c r="G17"/>
  <c r="H17"/>
  <c r="I17"/>
  <c r="J17"/>
  <c r="K17"/>
  <c r="L17"/>
  <c r="N17"/>
  <c r="O17"/>
  <c r="D17"/>
  <c r="M29" i="2"/>
  <c r="M30"/>
  <c r="M31"/>
  <c r="M28"/>
  <c r="I25"/>
  <c r="J25"/>
  <c r="K25"/>
  <c r="H25"/>
  <c r="Q25" l="1"/>
  <c r="P17" i="5"/>
  <c r="E19" i="9" l="1"/>
  <c r="F19"/>
  <c r="G19"/>
  <c r="N19"/>
  <c r="O19"/>
  <c r="E15"/>
  <c r="F15"/>
  <c r="G15"/>
  <c r="R18"/>
  <c r="Q32" i="2"/>
  <c r="Q19" i="9" s="1"/>
  <c r="P32" i="2"/>
  <c r="P19" i="9" s="1"/>
  <c r="R31" i="2"/>
  <c r="I32"/>
  <c r="I19" i="9" s="1"/>
  <c r="J32" i="2"/>
  <c r="J19" i="9" s="1"/>
  <c r="K19"/>
  <c r="L32" i="2"/>
  <c r="L19" i="9" s="1"/>
  <c r="H32" i="2"/>
  <c r="H19" i="9" s="1"/>
  <c r="E19" i="7"/>
  <c r="E22" s="1"/>
  <c r="F19"/>
  <c r="F22" s="1"/>
  <c r="G19"/>
  <c r="H19"/>
  <c r="I19"/>
  <c r="J19"/>
  <c r="K19"/>
  <c r="L19"/>
  <c r="M19"/>
  <c r="N19"/>
  <c r="O19"/>
  <c r="P19"/>
  <c r="Q19"/>
  <c r="R18"/>
  <c r="R19" s="1"/>
  <c r="M18"/>
  <c r="D19"/>
  <c r="R24" i="8"/>
  <c r="K24"/>
  <c r="L24"/>
  <c r="R21"/>
  <c r="O19"/>
  <c r="N19"/>
  <c r="L19"/>
  <c r="K19"/>
  <c r="J19"/>
  <c r="I19"/>
  <c r="H19"/>
  <c r="D19"/>
  <c r="D25" s="1"/>
  <c r="Q19"/>
  <c r="I35" i="2" l="1"/>
  <c r="G22" i="9"/>
  <c r="F22"/>
  <c r="E22"/>
  <c r="R19" i="8"/>
  <c r="R25" s="1"/>
  <c r="M19"/>
  <c r="P19"/>
  <c r="D32" i="2" l="1"/>
  <c r="D19" i="9" s="1"/>
  <c r="R30" i="2" l="1"/>
  <c r="Q18" i="4" l="1"/>
  <c r="M32" i="2" l="1"/>
  <c r="M19" i="9" s="1"/>
  <c r="R23" i="2"/>
  <c r="M23" l="1"/>
  <c r="D35" l="1"/>
  <c r="R29"/>
  <c r="R28" l="1"/>
  <c r="R22" l="1"/>
  <c r="M22"/>
  <c r="R21" l="1"/>
  <c r="M16" i="5"/>
  <c r="G15" i="7"/>
  <c r="G22" s="1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6" i="3"/>
  <c r="J26"/>
  <c r="K26"/>
  <c r="D26"/>
  <c r="R15" i="5"/>
  <c r="R16"/>
  <c r="Q23"/>
  <c r="Q15" i="9" s="1"/>
  <c r="Q22" s="1"/>
  <c r="P23" i="5"/>
  <c r="K23"/>
  <c r="K15" i="9" s="1"/>
  <c r="K22" s="1"/>
  <c r="M15" i="5"/>
  <c r="H23"/>
  <c r="I23"/>
  <c r="I15" i="9" s="1"/>
  <c r="I22" s="1"/>
  <c r="J23" i="5"/>
  <c r="J15" i="9" s="1"/>
  <c r="J22" s="1"/>
  <c r="L23" i="5"/>
  <c r="N23"/>
  <c r="O23"/>
  <c r="D23"/>
  <c r="M17" l="1"/>
  <c r="M23" s="1"/>
  <c r="R17"/>
  <c r="R23" s="1"/>
  <c r="M17" i="6"/>
  <c r="M23" s="1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Q15" i="7" s="1"/>
  <c r="Q22" s="1"/>
  <c r="M16" i="3"/>
  <c r="M17"/>
  <c r="M18"/>
  <c r="M15"/>
  <c r="G15"/>
  <c r="D19"/>
  <c r="O24" i="4" l="1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J35" i="2"/>
  <c r="L35"/>
  <c r="R32"/>
  <c r="R19" i="9" s="1"/>
  <c r="R17" i="2" l="1"/>
  <c r="O35"/>
  <c r="M17"/>
  <c r="M19"/>
  <c r="M20"/>
  <c r="M21"/>
  <c r="H35"/>
  <c r="M25" l="1"/>
  <c r="N35"/>
  <c r="N15" i="9"/>
  <c r="N22" s="1"/>
  <c r="Q35" i="2"/>
  <c r="R20"/>
  <c r="R19"/>
  <c r="P35"/>
  <c r="R25" l="1"/>
  <c r="M35"/>
  <c r="M15" i="9"/>
  <c r="M22" s="1"/>
  <c r="R35" i="2" l="1"/>
  <c r="R15" i="9"/>
  <c r="R22" s="1"/>
</calcChain>
</file>

<file path=xl/sharedStrings.xml><?xml version="1.0" encoding="utf-8"?>
<sst xmlns="http://schemas.openxmlformats.org/spreadsheetml/2006/main" count="309" uniqueCount="83">
  <si>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</si>
  <si>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</si>
  <si>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</si>
  <si>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</si>
  <si>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</si>
  <si>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</si>
  <si>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</si>
  <si>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</si>
  <si>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</si>
  <si>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</si>
  <si>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</si>
  <si>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</si>
  <si>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</si>
  <si>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</si>
  <si>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</si>
  <si>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</si>
  <si>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</si>
  <si>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</si>
  <si>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</si>
  <si>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</si>
  <si>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</si>
  <si>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</si>
  <si>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</si>
  <si>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</si>
  <si>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</si>
  <si>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</si>
  <si>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</si>
  <si>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</si>
  <si>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</si>
  <si>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</si>
  <si>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</si>
  <si>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</si>
  <si>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</si>
  <si>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</si>
  <si>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</si>
  <si>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</si>
  <si>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</si>
  <si>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</si>
  <si>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</si>
  <si>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</si>
  <si>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Исполнитель                                             / И.Д.Голованова  /</t>
  </si>
  <si>
    <t>Исполнитель                                             / И.Д.Голованова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</si>
  <si>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</si>
  <si>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</si>
  <si>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</si>
  <si>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 от  08.06.2017</t>
  </si>
  <si>
    <t>Исполнитель                                             /    И.Д.Голованова            /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</si>
  <si>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</si>
  <si>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</si>
  <si>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</si>
  <si>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</si>
  <si>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</si>
  <si>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</si>
  <si>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</si>
  <si>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</si>
  <si>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</si>
  <si>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</si>
  <si>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</si>
  <si>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</si>
  <si>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</si>
  <si>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</si>
  <si>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</si>
  <si>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</si>
  <si>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</si>
  <si>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</si>
  <si>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</si>
  <si>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</si>
  <si>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</si>
  <si>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Исполнитель                                             /  И.Д.Голованова    / тел 8(81452)5-13-61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</si>
  <si>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</si>
  <si>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</si>
  <si>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</si>
  <si>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</si>
  <si>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</si>
  <si>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</si>
  <si>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</si>
  <si>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</si>
  <si>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Консолидация</t>
  </si>
  <si>
    <t>Информация о долговых обяхательствах  Пудожского муниципального района по состоянию на 1 мая 2019года</t>
  </si>
  <si>
    <t>Информация о долговых обязательствах  Шальского сельского поселения на 1 мая 2019года</t>
  </si>
  <si>
    <t>Информация о долговых обяхательствах Красноборского сельского поселения на 1 мая 2019года.</t>
  </si>
  <si>
    <t>Информация о долговых обязательствах Пудожского городского поселения на 1 мая 2019года.</t>
  </si>
  <si>
    <t>Информация о долговых обяхательствах Авдеевского сельского поселения на 1 мая 2019года.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</si>
</sst>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view="pageBreakPreview" zoomScale="60" zoomScaleNormal="100" workbookViewId="0">
      <selection activeCell="P21" sqref="P21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7.140625" style="1" customWidth="1"/>
    <col min="17" max="17" width="17.7109375" style="1" customWidth="1"/>
    <col min="18" max="18" width="15.7109375" style="1" customWidth="1"/>
    <col min="19" max="16384" width="9.140625" style="1"/>
  </cols>
  <sheetData>
    <row r="1" spans="1:18">
      <c r="Q1" s="101" t="s">
        <v>10</v>
      </c>
      <c r="R1" s="101"/>
    </row>
    <row r="2" spans="1:18" ht="26.25" customHeight="1">
      <c r="Q2" s="101"/>
      <c r="R2" s="101"/>
    </row>
    <row r="3" spans="1:18" ht="21.75" customHeight="1">
      <c r="A3" s="102" t="s">
        <v>78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103"/>
      <c r="F7" s="103"/>
      <c r="G7" s="103"/>
      <c r="H7" s="103"/>
      <c r="I7" s="103"/>
      <c r="J7" s="103"/>
      <c r="K7" s="103"/>
      <c r="L7" s="103"/>
      <c r="M7" s="9"/>
      <c r="N7" s="9"/>
    </row>
    <row r="8" spans="1:18" ht="5.25" customHeight="1"/>
    <row r="9" spans="1:18" ht="15" customHeight="1"/>
    <row r="10" spans="1:18" ht="36.75" customHeight="1">
      <c r="A10" s="104" t="s">
        <v>1</v>
      </c>
      <c r="B10" s="96" t="s">
        <v>23</v>
      </c>
      <c r="C10" s="96" t="s">
        <v>11</v>
      </c>
      <c r="D10" s="96" t="s">
        <v>24</v>
      </c>
      <c r="E10" s="96" t="s">
        <v>25</v>
      </c>
      <c r="F10" s="96" t="s">
        <v>7</v>
      </c>
      <c r="G10" s="96" t="s">
        <v>0</v>
      </c>
      <c r="H10" s="96" t="s">
        <v>15</v>
      </c>
      <c r="I10" s="96" t="s">
        <v>8</v>
      </c>
      <c r="J10" s="96" t="s">
        <v>12</v>
      </c>
      <c r="K10" s="96" t="s">
        <v>9</v>
      </c>
      <c r="L10" s="96" t="s">
        <v>13</v>
      </c>
      <c r="M10" s="105" t="s">
        <v>22</v>
      </c>
      <c r="N10" s="106"/>
      <c r="O10" s="96" t="s">
        <v>4</v>
      </c>
      <c r="P10" s="96" t="s">
        <v>19</v>
      </c>
      <c r="Q10" s="96" t="s">
        <v>18</v>
      </c>
      <c r="R10" s="96" t="s">
        <v>17</v>
      </c>
    </row>
    <row r="11" spans="1:18" s="13" customFormat="1" ht="94.5" customHeight="1">
      <c r="A11" s="104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40" t="s">
        <v>14</v>
      </c>
      <c r="N11" s="40" t="s">
        <v>16</v>
      </c>
      <c r="O11" s="97"/>
      <c r="P11" s="97"/>
      <c r="Q11" s="97"/>
      <c r="R11" s="97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98" t="s">
        <v>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2" t="s">
        <v>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</row>
    <row r="17" spans="1:18" s="3" customFormat="1" ht="27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>
        <v>10810000</v>
      </c>
      <c r="I17" s="22"/>
      <c r="J17" s="49"/>
      <c r="K17" s="41"/>
      <c r="L17" s="49">
        <f>1544000+1544000+1544000+1544000</f>
        <v>6176000</v>
      </c>
      <c r="M17" s="47">
        <f t="shared" ref="M17:M23" si="0">H17+J17-L17</f>
        <v>4634000</v>
      </c>
      <c r="N17" s="49"/>
      <c r="O17" s="48">
        <v>0</v>
      </c>
      <c r="P17" s="48">
        <f>22622.12+16065.84+16612.58+1595.47+11804.81</f>
        <v>68700.820000000007</v>
      </c>
      <c r="Q17" s="48">
        <f>22622.12+16065.84+18208.05</f>
        <v>56896.009999999995</v>
      </c>
      <c r="R17" s="49">
        <f t="shared" ref="R17:R23" si="1">O17+P17-Q17</f>
        <v>11804.810000000012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41"/>
      <c r="M18" s="47"/>
      <c r="N18" s="49"/>
      <c r="O18" s="48"/>
      <c r="P18" s="48"/>
      <c r="Q18" s="48"/>
      <c r="R18" s="49"/>
    </row>
    <row r="19" spans="1:18" s="3" customFormat="1" ht="29.25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>
        <v>5000000</v>
      </c>
      <c r="I19" s="22"/>
      <c r="J19" s="49"/>
      <c r="K19" s="41"/>
      <c r="L19" s="49">
        <f>450000+450000+450000+450000</f>
        <v>1800000</v>
      </c>
      <c r="M19" s="47">
        <f t="shared" si="0"/>
        <v>3200000</v>
      </c>
      <c r="N19" s="49"/>
      <c r="O19" s="48">
        <v>0</v>
      </c>
      <c r="P19" s="48">
        <f>10650.45+8346.98+8898.97+465+7494.24</f>
        <v>35855.64</v>
      </c>
      <c r="Q19" s="48">
        <f>10650.45+8346.98+9363.97</f>
        <v>28361.4</v>
      </c>
      <c r="R19" s="49">
        <f t="shared" si="1"/>
        <v>7494.239999999998</v>
      </c>
    </row>
    <row r="20" spans="1:18" s="3" customFormat="1" ht="32.25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>
        <v>1812000</v>
      </c>
      <c r="I20" s="22"/>
      <c r="J20" s="49"/>
      <c r="K20" s="41"/>
      <c r="L20" s="49">
        <f>151000+151000+151000+151000</f>
        <v>604000</v>
      </c>
      <c r="M20" s="47">
        <f t="shared" si="0"/>
        <v>1208000</v>
      </c>
      <c r="N20" s="49"/>
      <c r="O20" s="48">
        <v>0</v>
      </c>
      <c r="P20" s="48">
        <f>3868.27+3066.84+3280.55+156.03+2799.69</f>
        <v>13171.380000000001</v>
      </c>
      <c r="Q20" s="48">
        <f>3868.27+3066.84+3436.58</f>
        <v>10371.69</v>
      </c>
      <c r="R20" s="49">
        <f t="shared" si="1"/>
        <v>2799.6900000000005</v>
      </c>
    </row>
    <row r="21" spans="1:18" s="3" customFormat="1" ht="42" customHeight="1">
      <c r="A21" s="71">
        <v>17</v>
      </c>
      <c r="B21" s="22" t="s">
        <v>45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28">
        <v>7747000</v>
      </c>
      <c r="I21" s="72"/>
      <c r="J21" s="48"/>
      <c r="K21" s="28"/>
      <c r="L21" s="28">
        <f>596000+596000</f>
        <v>1192000</v>
      </c>
      <c r="M21" s="47">
        <f t="shared" si="0"/>
        <v>6555000</v>
      </c>
      <c r="N21" s="28"/>
      <c r="O21" s="28">
        <v>0</v>
      </c>
      <c r="P21" s="48">
        <v>615.87</v>
      </c>
      <c r="Q21" s="48">
        <v>615.87</v>
      </c>
      <c r="R21" s="49">
        <f t="shared" si="1"/>
        <v>0</v>
      </c>
    </row>
    <row r="22" spans="1:18" s="3" customFormat="1" ht="29.25" customHeight="1">
      <c r="A22" s="71">
        <v>18</v>
      </c>
      <c r="B22" s="22" t="s">
        <v>47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28">
        <v>1140000</v>
      </c>
      <c r="I22" s="72"/>
      <c r="J22" s="48"/>
      <c r="K22" s="28"/>
      <c r="L22" s="28">
        <f>60000+60000+60000+60000</f>
        <v>240000</v>
      </c>
      <c r="M22" s="47">
        <f t="shared" si="0"/>
        <v>900000</v>
      </c>
      <c r="N22" s="28"/>
      <c r="O22" s="28">
        <v>0</v>
      </c>
      <c r="P22" s="48">
        <v>62</v>
      </c>
      <c r="Q22" s="48">
        <v>62</v>
      </c>
      <c r="R22" s="49">
        <f t="shared" si="1"/>
        <v>0</v>
      </c>
    </row>
    <row r="23" spans="1:18" s="3" customFormat="1" ht="29.25" customHeight="1">
      <c r="A23" s="71">
        <v>19</v>
      </c>
      <c r="B23" s="22" t="s">
        <v>52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28">
        <v>5470000</v>
      </c>
      <c r="I23" s="72"/>
      <c r="J23" s="48"/>
      <c r="K23" s="28"/>
      <c r="L23" s="28">
        <f>273000+273000</f>
        <v>546000</v>
      </c>
      <c r="M23" s="47">
        <f t="shared" si="0"/>
        <v>4924000</v>
      </c>
      <c r="N23" s="28"/>
      <c r="O23" s="28">
        <v>0</v>
      </c>
      <c r="P23" s="48">
        <v>282.10000000000002</v>
      </c>
      <c r="Q23" s="28">
        <v>282.10000000000002</v>
      </c>
      <c r="R23" s="49">
        <f t="shared" si="1"/>
        <v>0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28"/>
      <c r="I24" s="72"/>
      <c r="J24" s="48"/>
      <c r="K24" s="28"/>
      <c r="L24" s="28"/>
      <c r="M24" s="47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28">
        <f t="shared" ref="H25:R25" si="2">H17+H19+H20+H21+H22+H23</f>
        <v>31979000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10558000</v>
      </c>
      <c r="M25" s="28">
        <f t="shared" si="2"/>
        <v>21421000</v>
      </c>
      <c r="N25" s="28">
        <f t="shared" si="2"/>
        <v>0</v>
      </c>
      <c r="O25" s="28">
        <f t="shared" si="2"/>
        <v>0</v>
      </c>
      <c r="P25" s="48">
        <f t="shared" si="2"/>
        <v>118687.81000000001</v>
      </c>
      <c r="Q25" s="48">
        <f t="shared" si="2"/>
        <v>96589.07</v>
      </c>
      <c r="R25" s="48">
        <f t="shared" si="2"/>
        <v>22098.740000000013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92" t="s">
        <v>20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4"/>
    </row>
    <row r="28" spans="1:18" s="3" customFormat="1" ht="58.5" customHeight="1">
      <c r="A28" s="76">
        <v>1</v>
      </c>
      <c r="B28" s="22" t="s">
        <v>49</v>
      </c>
      <c r="C28" s="23" t="s">
        <v>48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>
        <v>7900000</v>
      </c>
      <c r="I28" s="56"/>
      <c r="J28" s="60"/>
      <c r="K28" s="28"/>
      <c r="L28" s="57">
        <v>0</v>
      </c>
      <c r="M28" s="49">
        <f>H28+J28-L28</f>
        <v>7900000</v>
      </c>
      <c r="N28" s="49"/>
      <c r="O28" s="49"/>
      <c r="P28" s="48">
        <f>68330.45+61717.83+68330.45+66126.25</f>
        <v>264504.98</v>
      </c>
      <c r="Q28" s="48">
        <f>68330.45+61717.83+68330.45</f>
        <v>198378.72999999998</v>
      </c>
      <c r="R28" s="49">
        <f>O28+P28-Q28</f>
        <v>66126.25</v>
      </c>
    </row>
    <row r="29" spans="1:18" s="3" customFormat="1" ht="49.5" customHeight="1">
      <c r="A29" s="76">
        <v>2</v>
      </c>
      <c r="B29" s="22" t="s">
        <v>50</v>
      </c>
      <c r="C29" s="23" t="s">
        <v>51</v>
      </c>
      <c r="D29" s="44">
        <v>9000000</v>
      </c>
      <c r="E29" s="45">
        <v>43764</v>
      </c>
      <c r="F29" s="46" t="s">
        <v>30</v>
      </c>
      <c r="G29" s="77">
        <v>12</v>
      </c>
      <c r="H29" s="48">
        <v>1757000</v>
      </c>
      <c r="I29" s="56"/>
      <c r="J29" s="60"/>
      <c r="K29" s="78" t="s">
        <v>71</v>
      </c>
      <c r="L29" s="57">
        <v>1757000</v>
      </c>
      <c r="M29" s="49">
        <f t="shared" ref="M29:M31" si="3">H29+J29-L29</f>
        <v>0</v>
      </c>
      <c r="N29" s="49"/>
      <c r="O29" s="49"/>
      <c r="P29" s="48">
        <v>17906.96</v>
      </c>
      <c r="Q29" s="48">
        <v>17906.96</v>
      </c>
      <c r="R29" s="49">
        <f>O29+P29-Q29</f>
        <v>0</v>
      </c>
    </row>
    <row r="30" spans="1:18" s="3" customFormat="1" ht="49.5" customHeight="1">
      <c r="A30" s="76">
        <v>3</v>
      </c>
      <c r="B30" s="22" t="s">
        <v>53</v>
      </c>
      <c r="C30" s="23" t="s">
        <v>48</v>
      </c>
      <c r="D30" s="44">
        <v>15000000</v>
      </c>
      <c r="E30" s="45">
        <v>43917</v>
      </c>
      <c r="F30" s="46" t="s">
        <v>30</v>
      </c>
      <c r="G30" s="77">
        <v>8.5</v>
      </c>
      <c r="H30" s="48">
        <v>15000000</v>
      </c>
      <c r="I30" s="56">
        <v>0</v>
      </c>
      <c r="J30" s="60"/>
      <c r="K30" s="78"/>
      <c r="L30" s="57"/>
      <c r="M30" s="49">
        <f t="shared" si="3"/>
        <v>15000000</v>
      </c>
      <c r="N30" s="49"/>
      <c r="O30" s="49"/>
      <c r="P30" s="48">
        <f>108287.67+97808.22+108287.67+104794.52</f>
        <v>419178.08</v>
      </c>
      <c r="Q30" s="48">
        <f>108287.67+97808.22+108287.67</f>
        <v>314383.56</v>
      </c>
      <c r="R30" s="49">
        <f>O30+P30-Q30</f>
        <v>104794.52000000002</v>
      </c>
    </row>
    <row r="31" spans="1:18" s="3" customFormat="1" ht="49.5" customHeight="1">
      <c r="A31" s="76">
        <v>4</v>
      </c>
      <c r="B31" s="22" t="s">
        <v>59</v>
      </c>
      <c r="C31" s="23" t="s">
        <v>48</v>
      </c>
      <c r="D31" s="44">
        <v>20000000</v>
      </c>
      <c r="E31" s="45">
        <v>44039</v>
      </c>
      <c r="F31" s="46" t="s">
        <v>30</v>
      </c>
      <c r="G31" s="77">
        <v>8.25</v>
      </c>
      <c r="H31" s="48">
        <v>20000000</v>
      </c>
      <c r="I31" s="56">
        <v>0</v>
      </c>
      <c r="J31" s="60"/>
      <c r="K31" s="78"/>
      <c r="L31" s="57"/>
      <c r="M31" s="49">
        <f t="shared" si="3"/>
        <v>20000000</v>
      </c>
      <c r="N31" s="49"/>
      <c r="O31" s="49"/>
      <c r="P31" s="48">
        <f>140136.99+126575.34+140136.99+135616.44</f>
        <v>542465.76</v>
      </c>
      <c r="Q31" s="48">
        <f>140136.99+126575.34+140136.99</f>
        <v>406849.31999999995</v>
      </c>
      <c r="R31" s="49">
        <f>O31+P31-Q31</f>
        <v>135616.44000000006</v>
      </c>
    </row>
    <row r="32" spans="1:18" s="3" customFormat="1" ht="18.75" customHeight="1">
      <c r="A32" s="35" t="s">
        <v>2</v>
      </c>
      <c r="B32" s="22"/>
      <c r="C32" s="23"/>
      <c r="D32" s="44">
        <f>D28+D29+D30+D31</f>
        <v>59000000</v>
      </c>
      <c r="E32" s="44"/>
      <c r="F32" s="44"/>
      <c r="G32" s="44"/>
      <c r="H32" s="44">
        <f t="shared" ref="H32:M32" si="4">H28+H29+H30+H31</f>
        <v>44657000</v>
      </c>
      <c r="I32" s="44">
        <f t="shared" si="4"/>
        <v>0</v>
      </c>
      <c r="J32" s="44">
        <f t="shared" si="4"/>
        <v>0</v>
      </c>
      <c r="K32" s="44"/>
      <c r="L32" s="44">
        <f t="shared" si="4"/>
        <v>1757000</v>
      </c>
      <c r="M32" s="44">
        <f t="shared" si="4"/>
        <v>42900000</v>
      </c>
      <c r="N32" s="44"/>
      <c r="O32" s="44"/>
      <c r="P32" s="44">
        <f>P28+P29+P30+P31</f>
        <v>1244055.78</v>
      </c>
      <c r="Q32" s="44">
        <f>Q28+Q29+Q30+Q31</f>
        <v>937518.57</v>
      </c>
      <c r="R32" s="49">
        <f>O32+P32-Q32</f>
        <v>306537.21000000008</v>
      </c>
    </row>
    <row r="33" spans="1:18" s="3" customFormat="1" ht="0.75" customHeight="1">
      <c r="A33" s="92" t="s">
        <v>21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</row>
    <row r="34" spans="1:18" s="3" customFormat="1" ht="8.25" hidden="1" customHeight="1">
      <c r="A34" s="33"/>
      <c r="B34" s="22"/>
      <c r="C34" s="23"/>
      <c r="D34" s="24"/>
      <c r="E34" s="25"/>
      <c r="F34" s="26"/>
      <c r="G34" s="28"/>
      <c r="H34" s="27"/>
      <c r="I34" s="28"/>
      <c r="J34" s="28"/>
      <c r="K34" s="28"/>
      <c r="L34" s="29"/>
      <c r="M34" s="28"/>
      <c r="N34" s="28"/>
      <c r="O34" s="28"/>
      <c r="P34" s="28"/>
      <c r="Q34" s="28"/>
      <c r="R34" s="34"/>
    </row>
    <row r="35" spans="1:18" s="3" customFormat="1" ht="18.75" customHeight="1">
      <c r="A35" s="35" t="s">
        <v>31</v>
      </c>
      <c r="B35" s="22"/>
      <c r="C35" s="23"/>
      <c r="D35" s="44">
        <f>D25+D32+D30</f>
        <v>74000000</v>
      </c>
      <c r="E35" s="44"/>
      <c r="F35" s="44"/>
      <c r="G35" s="44"/>
      <c r="H35" s="44">
        <f>H25+H32</f>
        <v>76636000</v>
      </c>
      <c r="I35" s="44">
        <f>I25+I32</f>
        <v>0</v>
      </c>
      <c r="J35" s="44">
        <f>J25+J32</f>
        <v>0</v>
      </c>
      <c r="K35" s="44"/>
      <c r="L35" s="44">
        <f t="shared" ref="L35:R35" si="5">L25+L32</f>
        <v>12315000</v>
      </c>
      <c r="M35" s="87">
        <f t="shared" si="5"/>
        <v>64321000</v>
      </c>
      <c r="N35" s="44">
        <f t="shared" si="5"/>
        <v>0</v>
      </c>
      <c r="O35" s="44">
        <f t="shared" si="5"/>
        <v>0</v>
      </c>
      <c r="P35" s="44">
        <f t="shared" si="5"/>
        <v>1362743.59</v>
      </c>
      <c r="Q35" s="44">
        <f t="shared" si="5"/>
        <v>1034107.6399999999</v>
      </c>
      <c r="R35" s="44">
        <f t="shared" si="5"/>
        <v>328635.95000000007</v>
      </c>
    </row>
    <row r="36" spans="1:18" s="19" customFormat="1" ht="33" hidden="1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</row>
    <row r="37" spans="1:18" ht="10.5" customHeight="1">
      <c r="A37" s="14"/>
      <c r="B37" s="15"/>
      <c r="C37" s="15"/>
      <c r="D37" s="16"/>
      <c r="E37" s="18"/>
      <c r="F37" s="18"/>
      <c r="G37" s="20"/>
      <c r="H37" s="20"/>
      <c r="I37" s="21"/>
      <c r="J37" s="21"/>
      <c r="K37" s="21"/>
      <c r="L37" s="21"/>
      <c r="M37" s="20"/>
      <c r="N37" s="20"/>
      <c r="O37" s="20"/>
      <c r="P37" s="20"/>
      <c r="Q37" s="20"/>
      <c r="R37" s="20"/>
    </row>
    <row r="38" spans="1:18">
      <c r="A38" s="36" t="s">
        <v>54</v>
      </c>
      <c r="B38" s="37"/>
      <c r="C38" s="37"/>
      <c r="D38" s="38"/>
      <c r="E38" s="39"/>
      <c r="F38" s="39"/>
      <c r="H38" s="36"/>
      <c r="I38" s="36"/>
    </row>
    <row r="40" spans="1:18">
      <c r="A40" s="36" t="s">
        <v>72</v>
      </c>
      <c r="B40" s="37"/>
      <c r="C40" s="37"/>
      <c r="D40" s="38"/>
      <c r="E40" s="39"/>
      <c r="F40" s="39"/>
      <c r="H40" s="36"/>
      <c r="I40" s="36"/>
    </row>
    <row r="42" spans="1:18">
      <c r="A42" s="36" t="s">
        <v>68</v>
      </c>
      <c r="B42" s="37"/>
      <c r="C42" s="37"/>
      <c r="D42" s="38"/>
      <c r="E42" s="39"/>
      <c r="F42" s="39"/>
      <c r="H42" s="36"/>
      <c r="I42" s="36"/>
    </row>
    <row r="46" spans="1:18">
      <c r="A46" s="36"/>
      <c r="B46" s="37"/>
      <c r="C46" s="37"/>
      <c r="D46" s="38"/>
      <c r="E46" s="39"/>
      <c r="F46" s="39"/>
      <c r="H46" s="36"/>
      <c r="I46" s="36"/>
    </row>
    <row r="57" spans="2:2" ht="16.5" customHeight="1"/>
    <row r="58" spans="2:2" ht="30" customHeight="1">
      <c r="B58" s="17"/>
    </row>
  </sheetData>
  <mergeCells count="25">
    <mergeCell ref="Q1:R2"/>
    <mergeCell ref="A3:R3"/>
    <mergeCell ref="E7:L7"/>
    <mergeCell ref="A10:A11"/>
    <mergeCell ref="I10:I11"/>
    <mergeCell ref="J10:J11"/>
    <mergeCell ref="K10:K11"/>
    <mergeCell ref="L10:L11"/>
    <mergeCell ref="M10:N10"/>
    <mergeCell ref="A33:R33"/>
    <mergeCell ref="A36:R36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zoomScale="60" zoomScaleNormal="100" workbookViewId="0">
      <selection activeCell="P18" sqref="P18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102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33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13795.48</v>
      </c>
      <c r="P15" s="48">
        <f>1086.06+5.68+26.35+980.96+5.05+13.18+1086.06+4.56+26.35+1051.03+5.61+21.96</f>
        <v>4312.8499999999995</v>
      </c>
      <c r="Q15" s="48"/>
      <c r="R15" s="49">
        <f>O15+P15-Q15</f>
        <v>18108.329999999998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49">
        <f>H16+J16-L16</f>
        <v>1356500</v>
      </c>
      <c r="N16" s="49">
        <v>1365000</v>
      </c>
      <c r="O16" s="48">
        <v>38042.15</v>
      </c>
      <c r="P16" s="48">
        <f>2976.25+55.8+15.89+2688.22+27.9+13.84+2976.25+27.9+13.84+2880.24+46.5+15.38</f>
        <v>11738.009999999998</v>
      </c>
      <c r="Q16" s="48"/>
      <c r="R16" s="49">
        <f>O16+P16-Q16</f>
        <v>49780.160000000003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49">
        <f>H17+J17-L17</f>
        <v>1745000</v>
      </c>
      <c r="N17" s="49">
        <v>970000</v>
      </c>
      <c r="O17" s="48">
        <v>4709.6899999999996</v>
      </c>
      <c r="P17" s="48">
        <f>3828.64+6.46+20.4+3458.13+3.88+17.8+3828.64+7.75+18.76+3705.14+6.46+19.78</f>
        <v>14921.84</v>
      </c>
      <c r="Q17" s="48"/>
      <c r="R17" s="49">
        <f>O17+P17-Q17</f>
        <v>19631.53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49">
        <f>H18+J18-L18</f>
        <v>1415000</v>
      </c>
      <c r="N18" s="49">
        <v>354000</v>
      </c>
      <c r="O18" s="48">
        <v>38625.760000000002</v>
      </c>
      <c r="P18" s="48">
        <f>3104.6+220.1+16.58+2804.16+110.05+14.44+3104.6+220.1+15.21+3004.45+183.42+16.04</f>
        <v>12813.749999999998</v>
      </c>
      <c r="Q18" s="48"/>
      <c r="R18" s="49">
        <f>O18+P18-Q18</f>
        <v>51439.51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5011500</v>
      </c>
      <c r="N19" s="44">
        <f t="shared" si="0"/>
        <v>3184000</v>
      </c>
      <c r="O19" s="44">
        <f t="shared" si="0"/>
        <v>95173.080000000016</v>
      </c>
      <c r="P19" s="44">
        <f t="shared" si="0"/>
        <v>43786.45</v>
      </c>
      <c r="Q19" s="44">
        <f t="shared" si="0"/>
        <v>0</v>
      </c>
      <c r="R19" s="44">
        <f t="shared" si="0"/>
        <v>138959.53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7" t="s">
        <v>20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7" t="s">
        <v>21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3184000</v>
      </c>
      <c r="O26" s="91">
        <f t="shared" si="1"/>
        <v>95173.080000000016</v>
      </c>
      <c r="P26" s="91">
        <f t="shared" si="1"/>
        <v>43786.45</v>
      </c>
      <c r="Q26" s="91">
        <f t="shared" si="1"/>
        <v>0</v>
      </c>
      <c r="R26" s="91">
        <f t="shared" si="1"/>
        <v>138959.53</v>
      </c>
      <c r="S26" s="3"/>
      <c r="T26" s="3"/>
    </row>
    <row r="27" spans="1:20" ht="34.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73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41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A30" sqref="A30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92" t="s">
        <v>20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4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2" t="s">
        <v>21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74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46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6" sqref="P16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102" t="s">
        <v>80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43758</v>
      </c>
      <c r="F15" s="68" t="s">
        <v>39</v>
      </c>
      <c r="G15" s="41">
        <v>2.75</v>
      </c>
      <c r="H15" s="69">
        <v>204000</v>
      </c>
      <c r="I15" s="41"/>
      <c r="J15" s="41"/>
      <c r="K15" s="69"/>
      <c r="L15" s="69">
        <f>25500+8500</f>
        <v>34000</v>
      </c>
      <c r="M15" s="47">
        <f>H15+J15-L15</f>
        <v>170000</v>
      </c>
      <c r="N15" s="41"/>
      <c r="O15" s="70">
        <v>863.11</v>
      </c>
      <c r="P15" s="70">
        <f>447.59+2.39+68.07+404.27+2.08+61.48+431.35+362.66</f>
        <v>1779.89</v>
      </c>
      <c r="Q15" s="70">
        <f>476.47+2.66+1235.84+134.02+431.35</f>
        <v>2280.34</v>
      </c>
      <c r="R15" s="49">
        <f>O15+P15-Q15</f>
        <v>362.65999999999985</v>
      </c>
      <c r="S15" s="3"/>
      <c r="T15" s="3"/>
    </row>
    <row r="16" spans="1:20" ht="131.25">
      <c r="A16" s="64">
        <v>4</v>
      </c>
      <c r="B16" s="63" t="s">
        <v>69</v>
      </c>
      <c r="C16" s="65" t="s">
        <v>37</v>
      </c>
      <c r="D16" s="66">
        <v>216000</v>
      </c>
      <c r="E16" s="67">
        <v>43758</v>
      </c>
      <c r="F16" s="68" t="s">
        <v>39</v>
      </c>
      <c r="G16" s="41">
        <v>2.75</v>
      </c>
      <c r="H16" s="69">
        <v>216000</v>
      </c>
      <c r="I16" s="28"/>
      <c r="J16" s="28"/>
      <c r="K16" s="69"/>
      <c r="L16" s="69">
        <f>27000+9000</f>
        <v>36000</v>
      </c>
      <c r="M16" s="47">
        <f>H16+J16-L16</f>
        <v>180000</v>
      </c>
      <c r="N16" s="28"/>
      <c r="O16" s="70">
        <v>1492.43</v>
      </c>
      <c r="P16" s="70">
        <f>458.63+2.49+72.08+414.25+2.13+65.1+452.84+0.51+373.01</f>
        <v>1841.04</v>
      </c>
      <c r="Q16" s="70">
        <f>2.82+504.49+1764.16+141.8+536.68+0.51+10</f>
        <v>2960.4600000000005</v>
      </c>
      <c r="R16" s="49">
        <f>O16+P16-Q16</f>
        <v>373.00999999999976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87516</v>
      </c>
      <c r="F17" s="44"/>
      <c r="G17" s="44">
        <f t="shared" si="0"/>
        <v>5.5</v>
      </c>
      <c r="H17" s="44">
        <f t="shared" si="0"/>
        <v>420000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70000</v>
      </c>
      <c r="M17" s="44">
        <f t="shared" si="0"/>
        <v>350000</v>
      </c>
      <c r="N17" s="44">
        <f t="shared" si="0"/>
        <v>0</v>
      </c>
      <c r="O17" s="44">
        <f t="shared" si="0"/>
        <v>2355.54</v>
      </c>
      <c r="P17" s="44">
        <f t="shared" si="0"/>
        <v>3620.9300000000003</v>
      </c>
      <c r="Q17" s="44">
        <f t="shared" si="0"/>
        <v>5240.8000000000011</v>
      </c>
      <c r="R17" s="44">
        <f t="shared" si="0"/>
        <v>735.66999999999962</v>
      </c>
      <c r="S17" s="3"/>
      <c r="T17" s="3"/>
    </row>
    <row r="18" spans="1:20" ht="15">
      <c r="A18" s="92" t="s">
        <v>20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2" t="s">
        <v>21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420000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70000</v>
      </c>
      <c r="M23" s="91">
        <f t="shared" si="1"/>
        <v>350000</v>
      </c>
      <c r="N23" s="91">
        <f t="shared" si="1"/>
        <v>0</v>
      </c>
      <c r="O23" s="91">
        <f t="shared" si="1"/>
        <v>2355.54</v>
      </c>
      <c r="P23" s="91">
        <f t="shared" si="1"/>
        <v>3620.9300000000003</v>
      </c>
      <c r="Q23" s="91">
        <f t="shared" si="1"/>
        <v>5240.8000000000011</v>
      </c>
      <c r="R23" s="91">
        <f t="shared" si="1"/>
        <v>735.66999999999962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56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75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activeCell="A2" sqref="A2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2" width="9.140625" bestFit="1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0" t="s">
        <v>14</v>
      </c>
      <c r="N9" s="80" t="s">
        <v>16</v>
      </c>
      <c r="O9" s="97"/>
      <c r="P9" s="97"/>
      <c r="Q9" s="97"/>
      <c r="R9" s="97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92" t="s">
        <v>20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</row>
    <row r="21" spans="1:18" ht="75">
      <c r="A21" s="33" t="s">
        <v>60</v>
      </c>
      <c r="B21" s="22" t="s">
        <v>61</v>
      </c>
      <c r="C21" s="23" t="s">
        <v>48</v>
      </c>
      <c r="D21" s="44">
        <v>2000000</v>
      </c>
      <c r="E21" s="45">
        <v>43677</v>
      </c>
      <c r="F21" s="26" t="s">
        <v>62</v>
      </c>
      <c r="G21" s="48">
        <v>8.77</v>
      </c>
      <c r="H21" s="27">
        <v>2000000</v>
      </c>
      <c r="I21" s="72">
        <v>43315</v>
      </c>
      <c r="J21" s="28"/>
      <c r="K21" s="28"/>
      <c r="L21" s="29"/>
      <c r="M21" s="28">
        <f>H21-L21</f>
        <v>2000000</v>
      </c>
      <c r="N21" s="28"/>
      <c r="O21" s="28"/>
      <c r="P21" s="48">
        <v>45091.46</v>
      </c>
      <c r="Q21" s="48">
        <v>45091.46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92" t="s">
        <v>21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>K21</f>
        <v>0</v>
      </c>
      <c r="L24" s="28">
        <f>L21</f>
        <v>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D19</f>
        <v>0</v>
      </c>
      <c r="E25" s="87"/>
      <c r="F25" s="89"/>
      <c r="G25" s="90"/>
      <c r="H25" s="91">
        <f>H21</f>
        <v>2000000</v>
      </c>
      <c r="I25" s="91">
        <f t="shared" ref="I25:Q25" si="1">I21</f>
        <v>43315</v>
      </c>
      <c r="J25" s="91">
        <f t="shared" si="1"/>
        <v>0</v>
      </c>
      <c r="K25" s="91">
        <f t="shared" si="1"/>
        <v>0</v>
      </c>
      <c r="L25" s="91">
        <f t="shared" si="1"/>
        <v>0</v>
      </c>
      <c r="M25" s="91">
        <f t="shared" si="1"/>
        <v>2000000</v>
      </c>
      <c r="N25" s="91">
        <f t="shared" si="1"/>
        <v>0</v>
      </c>
      <c r="O25" s="91">
        <f t="shared" si="1"/>
        <v>0</v>
      </c>
      <c r="P25" s="91">
        <f t="shared" si="1"/>
        <v>45091.46</v>
      </c>
      <c r="Q25" s="91">
        <f t="shared" si="1"/>
        <v>45091.46</v>
      </c>
      <c r="R25" s="91">
        <f t="shared" ref="R25" si="2">R19</f>
        <v>0</v>
      </c>
    </row>
    <row r="26" spans="1:18" ht="15" thickBo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75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40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26" right="0.23" top="0.54" bottom="0.34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6" sqref="P16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43</v>
      </c>
      <c r="C16" s="63" t="s">
        <v>37</v>
      </c>
      <c r="D16" s="66">
        <v>836000</v>
      </c>
      <c r="E16" s="67">
        <v>43758</v>
      </c>
      <c r="F16" s="59" t="s">
        <v>44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/>
      <c r="O16" s="70">
        <v>8699.89</v>
      </c>
      <c r="P16" s="70">
        <f>1834.24+108.5+9.77+1656.73+65.1+8.53+1834.24+108.5+8.99+1775.07+108.5+9.48</f>
        <v>7527.6499999999987</v>
      </c>
      <c r="Q16" s="70">
        <v>0</v>
      </c>
      <c r="R16" s="49">
        <f>O16+P16-Q16</f>
        <v>16227.539999999997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8699.89</v>
      </c>
      <c r="P17" s="44">
        <f t="shared" si="0"/>
        <v>7527.6499999999987</v>
      </c>
      <c r="Q17" s="44">
        <f t="shared" si="0"/>
        <v>0</v>
      </c>
      <c r="R17" s="44">
        <f t="shared" si="0"/>
        <v>16227.539999999997</v>
      </c>
      <c r="S17" s="3"/>
      <c r="T17" s="3"/>
    </row>
    <row r="18" spans="1:20" ht="15">
      <c r="A18" s="92" t="s">
        <v>20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2" t="s">
        <v>21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 t="shared" si="1"/>
        <v>0</v>
      </c>
      <c r="O23" s="87">
        <f t="shared" si="1"/>
        <v>8699.89</v>
      </c>
      <c r="P23" s="87">
        <f t="shared" si="1"/>
        <v>7527.6499999999987</v>
      </c>
      <c r="Q23" s="87">
        <f t="shared" si="1"/>
        <v>0</v>
      </c>
      <c r="R23" s="87">
        <f t="shared" si="1"/>
        <v>16227.539999999997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57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42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opLeftCell="D5" zoomScaleNormal="100" workbookViewId="0">
      <selection activeCell="Q18" sqref="Q18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102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67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4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6267500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70000</v>
      </c>
      <c r="M15" s="44">
        <f>Шала!M19+Кривцы!M18+Авдеево!M23+Красноборский!M23</f>
        <v>6197500</v>
      </c>
      <c r="N15" s="44">
        <f>Шала!N19+Кривцы!N18+Авдеево!N23+Красноборский!N23</f>
        <v>3184000</v>
      </c>
      <c r="O15" s="44">
        <f>Шала!O19+Кривцы!O18+Авдеево!O23+Красноборский!O23</f>
        <v>106228.51000000001</v>
      </c>
      <c r="P15" s="44">
        <f>Шала!P19+Кривцы!P18+Авдеево!P23+Красноборский!P23</f>
        <v>54935.03</v>
      </c>
      <c r="Q15" s="44">
        <f>Шала!Q19+Кривцы!Q18+Авдеево!Q23+Красноборский!Q23</f>
        <v>5240.8000000000011</v>
      </c>
      <c r="R15" s="44">
        <f>Шала!R19+Кривцы!R18+Авдеево!R23+Красноборский!R23</f>
        <v>155922.74000000002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2" t="s">
        <v>20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  <c r="S17" s="3"/>
      <c r="T17" s="3"/>
    </row>
    <row r="18" spans="1:20" ht="120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f>Город!P21</f>
        <v>45091.46</v>
      </c>
      <c r="Q18" s="48">
        <f>Город!Q21</f>
        <v>45091.46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45091.46</v>
      </c>
      <c r="Q19" s="44">
        <f t="shared" si="0"/>
        <v>45091.46</v>
      </c>
      <c r="R19" s="44">
        <f t="shared" si="0"/>
        <v>0</v>
      </c>
      <c r="S19" s="3"/>
      <c r="T19" s="3"/>
    </row>
    <row r="20" spans="1:20" ht="15">
      <c r="A20" s="92" t="s">
        <v>21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63</v>
      </c>
      <c r="B22" s="22"/>
      <c r="C22" s="23"/>
      <c r="D22" s="87">
        <f>D15+D19</f>
        <v>8726000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6267500</v>
      </c>
      <c r="I22" s="87">
        <f t="shared" si="1"/>
        <v>0</v>
      </c>
      <c r="J22" s="87">
        <f t="shared" si="1"/>
        <v>2000000</v>
      </c>
      <c r="K22" s="87">
        <f t="shared" si="1"/>
        <v>0</v>
      </c>
      <c r="L22" s="87">
        <f t="shared" si="1"/>
        <v>70000</v>
      </c>
      <c r="M22" s="87">
        <f t="shared" si="1"/>
        <v>8197500</v>
      </c>
      <c r="N22" s="87">
        <f t="shared" si="1"/>
        <v>3184000</v>
      </c>
      <c r="O22" s="87">
        <f t="shared" si="1"/>
        <v>106228.51000000001</v>
      </c>
      <c r="P22" s="87">
        <f t="shared" si="1"/>
        <v>100026.48999999999</v>
      </c>
      <c r="Q22" s="87">
        <f t="shared" si="1"/>
        <v>50332.26</v>
      </c>
      <c r="R22" s="87">
        <f t="shared" si="1"/>
        <v>155922.74000000002</v>
      </c>
      <c r="S22" s="3"/>
      <c r="T22" s="3"/>
    </row>
    <row r="23" spans="1:20" ht="15" thickBot="1">
      <c r="A23" s="108" t="s">
        <v>32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64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70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opLeftCell="C8" workbookViewId="0">
      <selection activeCell="P18" sqref="P18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102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77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3"/>
      <c r="F5" s="103"/>
      <c r="G5" s="103"/>
      <c r="H5" s="103"/>
      <c r="I5" s="103"/>
      <c r="J5" s="103"/>
      <c r="K5" s="103"/>
      <c r="L5" s="103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4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105" t="s">
        <v>22</v>
      </c>
      <c r="N8" s="106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67.5">
      <c r="A9" s="10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6" t="s">
        <v>14</v>
      </c>
      <c r="N9" s="86" t="s">
        <v>16</v>
      </c>
      <c r="O9" s="97"/>
      <c r="P9" s="97"/>
      <c r="Q9" s="97"/>
      <c r="R9" s="97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98" t="s">
        <v>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2" t="s">
        <v>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38246500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10628000</v>
      </c>
      <c r="M15" s="44">
        <f>Шала!M19+Кривцы!M18+Авдеево!M23+Красноборский!M23+район!M25</f>
        <v>27618500</v>
      </c>
      <c r="N15" s="44">
        <f>Шала!N19+Кривцы!N18+Авдеево!N23+Красноборский!N23+район!N25</f>
        <v>3184000</v>
      </c>
      <c r="O15" s="44">
        <f>Шала!O19+Кривцы!O18+Авдеево!O23+Красноборский!O23+район!O25</f>
        <v>106228.51000000001</v>
      </c>
      <c r="P15" s="44">
        <f>Шала!P19+Кривцы!P18+Авдеево!P23+Красноборский!P23+район!P25</f>
        <v>173622.84000000003</v>
      </c>
      <c r="Q15" s="44">
        <f>Шала!Q19+Кривцы!Q18+Авдеево!Q23+Красноборский!Q23+район!Q25</f>
        <v>101829.87000000001</v>
      </c>
      <c r="R15" s="44">
        <f>Шала!R19+Кривцы!R18+Авдеево!R23+Красноборский!R23+район!R25</f>
        <v>178021.48000000004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92" t="s">
        <v>20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</row>
    <row r="18" spans="1:18" ht="165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>
        <v>2000000</v>
      </c>
      <c r="I18" s="28"/>
      <c r="J18" s="28"/>
      <c r="K18" s="28"/>
      <c r="L18" s="29"/>
      <c r="M18" s="28">
        <f>H18+J18-L18</f>
        <v>2000000</v>
      </c>
      <c r="N18" s="28"/>
      <c r="O18" s="28"/>
      <c r="P18" s="48">
        <f>Город!P21</f>
        <v>45091.46</v>
      </c>
      <c r="Q18" s="48">
        <f>Город!Q21</f>
        <v>45091.46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D18+район!D32</f>
        <v>61000000</v>
      </c>
      <c r="E19" s="44">
        <f>E18+район!E32</f>
        <v>0</v>
      </c>
      <c r="F19" s="44">
        <f>F18+район!F32</f>
        <v>0</v>
      </c>
      <c r="G19" s="44">
        <f>G18+район!G32</f>
        <v>0</v>
      </c>
      <c r="H19" s="44">
        <f>H18+район!H32</f>
        <v>46657000</v>
      </c>
      <c r="I19" s="44">
        <f>I18+район!I32</f>
        <v>0</v>
      </c>
      <c r="J19" s="44">
        <f>J18+район!J32</f>
        <v>0</v>
      </c>
      <c r="K19" s="44">
        <f>K18+район!K32</f>
        <v>0</v>
      </c>
      <c r="L19" s="44">
        <f>L18+район!L32</f>
        <v>1757000</v>
      </c>
      <c r="M19" s="44">
        <f>M18+район!M32</f>
        <v>44900000</v>
      </c>
      <c r="N19" s="44">
        <f>N18+район!N32</f>
        <v>0</v>
      </c>
      <c r="O19" s="44">
        <f>O18+район!O32</f>
        <v>0</v>
      </c>
      <c r="P19" s="44">
        <f>P18+район!P32</f>
        <v>1289147.24</v>
      </c>
      <c r="Q19" s="44">
        <f>Q18+район!Q32</f>
        <v>982610.02999999991</v>
      </c>
      <c r="R19" s="44">
        <f>R18+район!R32</f>
        <v>306537.21000000008</v>
      </c>
    </row>
    <row r="20" spans="1:18" ht="14.25">
      <c r="A20" s="92" t="s">
        <v>21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63</v>
      </c>
      <c r="B22" s="22"/>
      <c r="C22" s="23"/>
      <c r="D22" s="44">
        <f>D15+D19</f>
        <v>67726000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84903500</v>
      </c>
      <c r="I22" s="44">
        <f t="shared" si="0"/>
        <v>0</v>
      </c>
      <c r="J22" s="44">
        <f t="shared" si="0"/>
        <v>0</v>
      </c>
      <c r="K22" s="44">
        <f t="shared" si="0"/>
        <v>0</v>
      </c>
      <c r="L22" s="44">
        <f t="shared" si="0"/>
        <v>12385000</v>
      </c>
      <c r="M22" s="44">
        <f t="shared" si="0"/>
        <v>72518500</v>
      </c>
      <c r="N22" s="44">
        <f t="shared" si="0"/>
        <v>3184000</v>
      </c>
      <c r="O22" s="44">
        <f t="shared" si="0"/>
        <v>106228.51000000001</v>
      </c>
      <c r="P22" s="44">
        <f t="shared" si="0"/>
        <v>1462770.08</v>
      </c>
      <c r="Q22" s="44">
        <f t="shared" si="0"/>
        <v>1084439.8999999999</v>
      </c>
      <c r="R22" s="44">
        <f t="shared" si="0"/>
        <v>484558.69000000012</v>
      </c>
    </row>
  </sheetData>
  <mergeCells count="23"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2019-04-22T13:11:31Z</cp:lastPrinted>
  <dcterms:created xsi:type="dcterms:W3CDTF">2006-06-05T06:40:26Z</dcterms:created>
  <dcterms:modified xsi:type="dcterms:W3CDTF">2019-05-07T05:45:40Z</dcterms:modified>
</cp:coreProperties>
</file>