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 tabRatio="750" activeTab="7"/>
  </bookViews>
  <sheets>
    <sheet name="район" sheetId="2" r:id="rId1"/>
    <sheet name="Шала" sheetId="3" r:id="rId2"/>
    <sheet name="Кривцы" sheetId="4" r:id="rId3"/>
    <sheet name="Красноборский" sheetId="5" r:id="rId4"/>
    <sheet name="Город" sheetId="8" r:id="rId5"/>
    <sheet name="Авдеево" sheetId="6" r:id="rId6"/>
    <sheet name="СВОД" sheetId="7" r:id="rId7"/>
    <sheet name="Консолидация" sheetId="9" r:id="rId8"/>
  </sheets>
  <calcPr calcId="125725"/>
</workbook>
</file>

<file path=xl/calcChain.xml><?xml version="1.0" encoding="utf-8"?>
<calcChain xmlns="http://schemas.openxmlformats.org/spreadsheetml/2006/main">
  <c r="P16" i="6"/>
  <c r="P16" i="5"/>
  <c r="P15"/>
  <c r="P18" i="3" l="1"/>
  <c r="P17"/>
  <c r="P16"/>
  <c r="P15"/>
  <c r="N16" i="5" l="1"/>
  <c r="N15"/>
  <c r="L23" i="2" l="1"/>
  <c r="L22"/>
  <c r="L21"/>
  <c r="L20"/>
  <c r="L19"/>
  <c r="N17" i="6" l="1"/>
  <c r="N23" s="1"/>
  <c r="P20" i="2" l="1"/>
  <c r="P19"/>
  <c r="Q32"/>
  <c r="Q31"/>
  <c r="Q30"/>
  <c r="Q20"/>
  <c r="Q19"/>
  <c r="P32"/>
  <c r="P31"/>
  <c r="P30"/>
  <c r="I1" i="6"/>
  <c r="H1" i="5"/>
  <c r="I1" i="8" s="1"/>
  <c r="I1" i="3"/>
  <c r="R16" i="6"/>
  <c r="P17"/>
  <c r="P23" s="1"/>
  <c r="Q33" i="2" l="1"/>
  <c r="Q28"/>
  <c r="J33"/>
  <c r="J36" s="1"/>
  <c r="H36"/>
  <c r="P33"/>
  <c r="L33"/>
  <c r="M33"/>
  <c r="R32"/>
  <c r="P28"/>
  <c r="I33"/>
  <c r="N33"/>
  <c r="O33"/>
  <c r="M32"/>
  <c r="D36" l="1"/>
  <c r="D33"/>
  <c r="Q16" i="5"/>
  <c r="Q15"/>
  <c r="Q18" i="9"/>
  <c r="P18"/>
  <c r="Q21" i="8"/>
  <c r="P21"/>
  <c r="L16" i="5"/>
  <c r="L15"/>
  <c r="Q16" i="6" l="1"/>
  <c r="P17" i="2"/>
  <c r="Q17" l="1"/>
  <c r="Q23" l="1"/>
  <c r="Q22"/>
  <c r="Q21"/>
  <c r="P23"/>
  <c r="P22"/>
  <c r="P21"/>
  <c r="L17"/>
  <c r="Q18" i="7" l="1"/>
  <c r="P18"/>
  <c r="P25" i="8" l="1"/>
  <c r="L25" i="2"/>
  <c r="Q17" i="5"/>
  <c r="N25" i="2"/>
  <c r="O25"/>
  <c r="P25"/>
  <c r="M18" i="9"/>
  <c r="N25" i="8"/>
  <c r="O25"/>
  <c r="Q25"/>
  <c r="I25"/>
  <c r="J25"/>
  <c r="K25"/>
  <c r="L25"/>
  <c r="H25"/>
  <c r="M21"/>
  <c r="M25" s="1"/>
  <c r="E17" i="5"/>
  <c r="G17"/>
  <c r="H17"/>
  <c r="I17"/>
  <c r="J17"/>
  <c r="K17"/>
  <c r="L17"/>
  <c r="N17"/>
  <c r="O17"/>
  <c r="D17"/>
  <c r="M29" i="2"/>
  <c r="M30"/>
  <c r="M31"/>
  <c r="M28"/>
  <c r="I25"/>
  <c r="J25"/>
  <c r="K25"/>
  <c r="H25"/>
  <c r="Q25" l="1"/>
  <c r="P17" i="5"/>
  <c r="E19" i="9" l="1"/>
  <c r="F19"/>
  <c r="G19"/>
  <c r="N19"/>
  <c r="O19"/>
  <c r="E15"/>
  <c r="F15"/>
  <c r="G15"/>
  <c r="R18"/>
  <c r="Q19"/>
  <c r="P19"/>
  <c r="R31" i="2"/>
  <c r="I19" i="9"/>
  <c r="J19"/>
  <c r="K19"/>
  <c r="L19"/>
  <c r="H33" i="2"/>
  <c r="H19" i="9" s="1"/>
  <c r="E19" i="7"/>
  <c r="E22" s="1"/>
  <c r="F19"/>
  <c r="F22" s="1"/>
  <c r="G19"/>
  <c r="H19"/>
  <c r="I19"/>
  <c r="J19"/>
  <c r="K19"/>
  <c r="L19"/>
  <c r="M19"/>
  <c r="N19"/>
  <c r="O19"/>
  <c r="P19"/>
  <c r="Q19"/>
  <c r="R18"/>
  <c r="R19" s="1"/>
  <c r="M18"/>
  <c r="D19"/>
  <c r="R24" i="8"/>
  <c r="K24"/>
  <c r="L24"/>
  <c r="R21"/>
  <c r="O19"/>
  <c r="N19"/>
  <c r="L19"/>
  <c r="K19"/>
  <c r="J19"/>
  <c r="I19"/>
  <c r="H19"/>
  <c r="D19"/>
  <c r="D25" s="1"/>
  <c r="Q19"/>
  <c r="I36" i="2" l="1"/>
  <c r="G22" i="9"/>
  <c r="F22"/>
  <c r="E22"/>
  <c r="R19" i="8"/>
  <c r="R25" s="1"/>
  <c r="M19"/>
  <c r="P19"/>
  <c r="D19" i="9" l="1"/>
  <c r="R30" i="2" l="1"/>
  <c r="Q18" i="4" l="1"/>
  <c r="M19" i="9" l="1"/>
  <c r="R23" i="2"/>
  <c r="M23" l="1"/>
  <c r="R29" l="1"/>
  <c r="R28" l="1"/>
  <c r="R33" s="1"/>
  <c r="R22" l="1"/>
  <c r="M22"/>
  <c r="R21" l="1"/>
  <c r="M16" i="5"/>
  <c r="G15" i="7"/>
  <c r="G22" s="1"/>
  <c r="J23" i="6"/>
  <c r="K23"/>
  <c r="R17"/>
  <c r="R23" s="1"/>
  <c r="Q17"/>
  <c r="Q23" s="1"/>
  <c r="M16"/>
  <c r="L17"/>
  <c r="L23" s="1"/>
  <c r="H17"/>
  <c r="H23" s="1"/>
  <c r="I17"/>
  <c r="I23" s="1"/>
  <c r="J17"/>
  <c r="K17"/>
  <c r="O17"/>
  <c r="O23" s="1"/>
  <c r="D17"/>
  <c r="D23" s="1"/>
  <c r="I26" i="3"/>
  <c r="J26"/>
  <c r="K26"/>
  <c r="D26"/>
  <c r="R15" i="5"/>
  <c r="R16"/>
  <c r="Q23"/>
  <c r="P23"/>
  <c r="K23"/>
  <c r="K15" i="9" s="1"/>
  <c r="K22" s="1"/>
  <c r="M15" i="5"/>
  <c r="H23"/>
  <c r="I23"/>
  <c r="I15" i="9" s="1"/>
  <c r="I22" s="1"/>
  <c r="J23" i="5"/>
  <c r="J15" i="9" s="1"/>
  <c r="J22" s="1"/>
  <c r="L23" i="5"/>
  <c r="N23"/>
  <c r="O23"/>
  <c r="D23"/>
  <c r="M17" l="1"/>
  <c r="M23" s="1"/>
  <c r="R17"/>
  <c r="R23" s="1"/>
  <c r="M17" i="6"/>
  <c r="M23" s="1"/>
  <c r="R17" i="4" l="1"/>
  <c r="R18" s="1"/>
  <c r="R24" s="1"/>
  <c r="Q24"/>
  <c r="P18"/>
  <c r="P24" s="1"/>
  <c r="L18"/>
  <c r="L15" i="9" s="1"/>
  <c r="L22" s="1"/>
  <c r="I18" i="4"/>
  <c r="J18"/>
  <c r="K18"/>
  <c r="N18"/>
  <c r="N24" s="1"/>
  <c r="O18"/>
  <c r="H18"/>
  <c r="D18"/>
  <c r="D15" i="9" s="1"/>
  <c r="D22" s="1"/>
  <c r="R16" i="3"/>
  <c r="R17"/>
  <c r="R18"/>
  <c r="R15"/>
  <c r="P19"/>
  <c r="H19"/>
  <c r="I19"/>
  <c r="J19"/>
  <c r="K19"/>
  <c r="L19"/>
  <c r="L26" s="1"/>
  <c r="N19"/>
  <c r="O19"/>
  <c r="Q19"/>
  <c r="M16"/>
  <c r="M17"/>
  <c r="M18"/>
  <c r="M15"/>
  <c r="G15"/>
  <c r="D19"/>
  <c r="Q15" i="7" l="1"/>
  <c r="Q22" s="1"/>
  <c r="Q15" i="9"/>
  <c r="Q22" s="1"/>
  <c r="O24" i="4"/>
  <c r="O15" i="9"/>
  <c r="O22" s="1"/>
  <c r="H24" i="4"/>
  <c r="H15" i="9"/>
  <c r="H22" s="1"/>
  <c r="P15"/>
  <c r="P22" s="1"/>
  <c r="I24" i="4"/>
  <c r="I15" i="7"/>
  <c r="I22" s="1"/>
  <c r="J15"/>
  <c r="J22" s="1"/>
  <c r="J24" i="4"/>
  <c r="D24"/>
  <c r="D15" i="7"/>
  <c r="D22" s="1"/>
  <c r="K24" i="4"/>
  <c r="K15" i="7"/>
  <c r="K22" s="1"/>
  <c r="O15"/>
  <c r="O22" s="1"/>
  <c r="O26" i="3"/>
  <c r="H26"/>
  <c r="H15" i="7"/>
  <c r="H22" s="1"/>
  <c r="N15"/>
  <c r="N22" s="1"/>
  <c r="N26" i="3"/>
  <c r="M19"/>
  <c r="M26" s="1"/>
  <c r="P15" i="7"/>
  <c r="P22" s="1"/>
  <c r="P26" i="3"/>
  <c r="Q26"/>
  <c r="R19"/>
  <c r="L24" i="4"/>
  <c r="L15" i="7"/>
  <c r="L22" s="1"/>
  <c r="M17" i="4"/>
  <c r="M18" s="1"/>
  <c r="R15" i="7" l="1"/>
  <c r="R22" s="1"/>
  <c r="R26" i="3"/>
  <c r="M24" i="4"/>
  <c r="M15" i="7"/>
  <c r="M22" s="1"/>
  <c r="L36" i="2"/>
  <c r="R19" i="9"/>
  <c r="R17" i="2" l="1"/>
  <c r="O36"/>
  <c r="M17"/>
  <c r="M19"/>
  <c r="M20"/>
  <c r="M21"/>
  <c r="M25" l="1"/>
  <c r="N36"/>
  <c r="N15" i="9"/>
  <c r="N22" s="1"/>
  <c r="Q36" i="2"/>
  <c r="R20"/>
  <c r="R19"/>
  <c r="P36"/>
  <c r="R25" l="1"/>
  <c r="M36"/>
  <c r="M15" i="9"/>
  <c r="M22" s="1"/>
  <c r="R36" i="2" l="1"/>
  <c r="R15" i="9"/>
  <c r="R22" s="1"/>
</calcChain>
</file>

<file path=xl/sharedStrings.xml><?xml version="1.0" encoding="utf-8"?>
<sst xmlns="http://schemas.openxmlformats.org/spreadsheetml/2006/main" count="315" uniqueCount="82">
  <si>
    <t>Процентная ставка</t>
  </si>
  <si>
    <t>№ п/п</t>
  </si>
  <si>
    <t>Итого по разделу</t>
  </si>
  <si>
    <t xml:space="preserve"> I.   Муниципальные ценные бумаги </t>
  </si>
  <si>
    <t>Остаток долга по процентам на начало года</t>
  </si>
  <si>
    <t xml:space="preserve"> II. Бюджетные кредиты, привлеченные в местный бюджет от других бюджетов бюджетной системы Российской Федерации</t>
  </si>
  <si>
    <t>рублей</t>
  </si>
  <si>
    <t>Форма обеспечения обязательства</t>
  </si>
  <si>
    <t xml:space="preserve">Фактическая дата образования долгового обязательства </t>
  </si>
  <si>
    <t xml:space="preserve">Фактическая дата погашения долгового обязательства </t>
  </si>
  <si>
    <t>Приложение № 1 к Приказу от __года № _______</t>
  </si>
  <si>
    <t>Наименование кредитора (бенефициара), принципала</t>
  </si>
  <si>
    <t xml:space="preserve">Сумма образования  долгового обязательства </t>
  </si>
  <si>
    <t>Сумма погашения  долгового обязательства</t>
  </si>
  <si>
    <t>Всего</t>
  </si>
  <si>
    <t>Объем  долгового обязательства на начало  года</t>
  </si>
  <si>
    <t>в том числе,объем  просроченной задолженности</t>
  </si>
  <si>
    <t>Объем  долга по процентам на 1 число месяца</t>
  </si>
  <si>
    <t>Сумма уплаченных процентов с начала года</t>
  </si>
  <si>
    <t>Сумма начисленных процентов с начала года</t>
  </si>
  <si>
    <t xml:space="preserve"> III. Кредиты, полученные муниципальным образованием  от кредитных организаций</t>
  </si>
  <si>
    <t xml:space="preserve"> IV.Муниципальные  гарантии </t>
  </si>
  <si>
    <t>Объем муниципального  долга  на 1 число месяца</t>
  </si>
  <si>
    <t xml:space="preserve"> № и дата документа</t>
  </si>
  <si>
    <t xml:space="preserve">Объем долгового обязательства </t>
  </si>
  <si>
    <t xml:space="preserve">Дата погашения долгового обязательства </t>
  </si>
  <si>
    <t>Договор  N13-2/16 от  03.08.2016</t>
  </si>
  <si>
    <t>Договор  N13-5/16 от  19.12.2016</t>
  </si>
  <si>
    <t>Договор  N13-6/16 от  23.12.2016</t>
  </si>
  <si>
    <t>Министерство Финансов Республики Карелия</t>
  </si>
  <si>
    <t>казна муницип.района</t>
  </si>
  <si>
    <t>Всего муниципальный долг</t>
  </si>
  <si>
    <t>Итого муниципальный долг</t>
  </si>
  <si>
    <t>Договор №5-АПМР от 26.12.2013</t>
  </si>
  <si>
    <t>Договор №2 от 22.12.2015</t>
  </si>
  <si>
    <t>Договор №1 от 17.08.2016</t>
  </si>
  <si>
    <t>Договор №2 от 02.10.2016</t>
  </si>
  <si>
    <t>Администрация Пудожского муниципального района</t>
  </si>
  <si>
    <t>Договор №5 от 02.10.2016</t>
  </si>
  <si>
    <t>Казна поселения</t>
  </si>
  <si>
    <t>Договор № 6 от 02.10.2016</t>
  </si>
  <si>
    <t>казна поселения</t>
  </si>
  <si>
    <t>Договор  N13-1/17 от  08.06.2017</t>
  </si>
  <si>
    <t>Договор  N13-2/17 от  11.08.2017</t>
  </si>
  <si>
    <t>ПАО "Сбербанк России"</t>
  </si>
  <si>
    <t>Муниципальный контракт  N 0106300008417000059-0226286-01 от 13.11.2017.</t>
  </si>
  <si>
    <t>Муниципальный контракт  N 0106300008417000060-0226286-02 от 26.11.2017.</t>
  </si>
  <si>
    <t>АО Банк "Северный морской путь"</t>
  </si>
  <si>
    <t>Договор  N13-3/17 от  25.12.2017</t>
  </si>
  <si>
    <t>Муниципальный контракт  N 0106300008418000028-0226286-01 от 27.04.2018.</t>
  </si>
  <si>
    <t>Глава администрации Пудожского муниципального района                                                                              /    А.В.Ладыгин   /</t>
  </si>
  <si>
    <t>Глава администрации Пудожского муниципального района                                                                        /   А.В.Ладыгин   /</t>
  </si>
  <si>
    <t>Глава администрации Пудожского муниципального района                                                                              / А.В.Ладыгин  /</t>
  </si>
  <si>
    <t>Глава администрации Пудожского муниципального района                                                                              /  А.В.Ладыгин /</t>
  </si>
  <si>
    <t>Глава администрации Пудожского муниципального района                                                                              /  А.В.Ладыгин   /</t>
  </si>
  <si>
    <t>Муниципальный контракт  N 0106300008418000062-0226286-01 от 27.08.2018.</t>
  </si>
  <si>
    <t>1.</t>
  </si>
  <si>
    <t>Муниципальный контракт  N 010630011018000031-0142281-02 от 27.07.2018.</t>
  </si>
  <si>
    <t>Казна городского поселения</t>
  </si>
  <si>
    <t xml:space="preserve">Итого </t>
  </si>
  <si>
    <t>Глава Администрации Пудожского муниципального района                                                                              /     А.В.Ладыгин                              /</t>
  </si>
  <si>
    <t>Исполнитель                                             /      И.Д.Голованова                             /</t>
  </si>
  <si>
    <t>Информация о долговых обяхательствах  Пудожского муниципального района</t>
  </si>
  <si>
    <t>СВОД по поселениям</t>
  </si>
  <si>
    <t>Договор №9 от 25.10.2016</t>
  </si>
  <si>
    <t>Руководитель финансового управления                                           /    Н.Н.Третьякова     /</t>
  </si>
  <si>
    <t>31.О1</t>
  </si>
  <si>
    <t>Начальник отдела финансов и бухгалтерского учета                                           /  Н.Н.Третьякова   /</t>
  </si>
  <si>
    <t>Начальник отдела финансов и бухгалтерского учета                                           /   Н.Н.Третьякова  /</t>
  </si>
  <si>
    <t>Начальник отдела финансов и бухгалтерского учета                                           /   Н.Н.Третьякова     /</t>
  </si>
  <si>
    <t>Начальник финансов и бухгалтерского учета                                           /   Н.Н.Третьякова    /</t>
  </si>
  <si>
    <t>Начальник финансов и бухгатерского учета                                           / Н.Н.Третьякова   /</t>
  </si>
  <si>
    <t>Консолидация</t>
  </si>
  <si>
    <t>Исполнитель                                             /  Ю.С. Павлюх    / тел 8(81452)5-13-61</t>
  </si>
  <si>
    <t>10.09</t>
  </si>
  <si>
    <t xml:space="preserve">Информация о долговых обяхательствах  Пудожского муниципального района по состоянию </t>
  </si>
  <si>
    <t>Информация о долговых обязательствах  Шальского сельского поселения</t>
  </si>
  <si>
    <t xml:space="preserve">Информация о долговых обяхательствах Красноборского сельского поселения </t>
  </si>
  <si>
    <t xml:space="preserve">Информация о долговых обязательствах Пудожского городского поселения </t>
  </si>
  <si>
    <t xml:space="preserve">Информация о долговых обяхательствах Авдеевского сельского поселения </t>
  </si>
  <si>
    <t>Муниципальный контракт  N 31 аэф-19 от 02.09.2019</t>
  </si>
  <si>
    <t>на 1 НОЯБРЯ 2019года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</si>
</sst>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u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9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/>
    <xf numFmtId="2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6" xfId="0" applyFont="1" applyBorder="1"/>
    <xf numFmtId="165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"/>
  <sheetViews>
    <sheetView zoomScaleNormal="100" workbookViewId="0">
      <selection activeCell="Q36" sqref="Q36"/>
    </sheetView>
  </sheetViews>
  <sheetFormatPr defaultColWidth="9.140625" defaultRowHeight="12.75"/>
  <cols>
    <col min="1" max="1" width="4.28515625" style="1" customWidth="1"/>
    <col min="2" max="2" width="32.7109375" style="4" customWidth="1"/>
    <col min="3" max="3" width="32.85546875" style="4" customWidth="1"/>
    <col min="4" max="4" width="16.85546875" style="8" customWidth="1"/>
    <col min="5" max="5" width="13.7109375" style="10" customWidth="1"/>
    <col min="6" max="6" width="24.7109375" style="10" customWidth="1"/>
    <col min="7" max="7" width="13.5703125" style="1" customWidth="1"/>
    <col min="8" max="8" width="19.42578125" style="1" customWidth="1"/>
    <col min="9" max="9" width="15.140625" style="1" customWidth="1"/>
    <col min="10" max="10" width="16.85546875" style="1" customWidth="1"/>
    <col min="11" max="11" width="14.5703125" style="1" customWidth="1"/>
    <col min="12" max="12" width="14" style="1" customWidth="1"/>
    <col min="13" max="13" width="17.140625" style="1" customWidth="1"/>
    <col min="14" max="14" width="13.42578125" style="1" customWidth="1"/>
    <col min="15" max="15" width="13" style="1" customWidth="1"/>
    <col min="16" max="16" width="17.140625" style="1" customWidth="1"/>
    <col min="17" max="17" width="17.7109375" style="1" customWidth="1"/>
    <col min="18" max="18" width="15.7109375" style="1" customWidth="1"/>
    <col min="19" max="16384" width="9.140625" style="1"/>
  </cols>
  <sheetData>
    <row r="1" spans="1:18">
      <c r="Q1" s="96" t="s">
        <v>10</v>
      </c>
      <c r="R1" s="96"/>
    </row>
    <row r="2" spans="1:18" ht="26.25" customHeight="1">
      <c r="Q2" s="96"/>
      <c r="R2" s="96"/>
    </row>
    <row r="3" spans="1:18" ht="21.75" customHeight="1">
      <c r="A3" s="94" t="s">
        <v>75</v>
      </c>
      <c r="B3" s="94"/>
      <c r="C3" s="94"/>
      <c r="D3" s="94"/>
      <c r="E3" s="94"/>
      <c r="F3" s="94"/>
      <c r="G3" s="94" t="s">
        <v>81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 ht="1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1.25" customHeight="1">
      <c r="B5" s="6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1"/>
    </row>
    <row r="6" spans="1:18" ht="3" customHeight="1">
      <c r="E6" s="5"/>
      <c r="F6" s="5"/>
    </row>
    <row r="7" spans="1:18" ht="7.5" customHeight="1">
      <c r="E7" s="97"/>
      <c r="F7" s="97"/>
      <c r="G7" s="97"/>
      <c r="H7" s="97"/>
      <c r="I7" s="97"/>
      <c r="J7" s="97"/>
      <c r="K7" s="97"/>
      <c r="L7" s="97"/>
      <c r="M7" s="9"/>
      <c r="N7" s="9"/>
    </row>
    <row r="8" spans="1:18" ht="5.25" customHeight="1"/>
    <row r="9" spans="1:18" ht="15" customHeight="1"/>
    <row r="10" spans="1:18" ht="36.75" customHeight="1">
      <c r="A10" s="98" t="s">
        <v>1</v>
      </c>
      <c r="B10" s="99" t="s">
        <v>23</v>
      </c>
      <c r="C10" s="99" t="s">
        <v>11</v>
      </c>
      <c r="D10" s="99" t="s">
        <v>24</v>
      </c>
      <c r="E10" s="99" t="s">
        <v>25</v>
      </c>
      <c r="F10" s="99" t="s">
        <v>7</v>
      </c>
      <c r="G10" s="99" t="s">
        <v>0</v>
      </c>
      <c r="H10" s="99" t="s">
        <v>15</v>
      </c>
      <c r="I10" s="99" t="s">
        <v>8</v>
      </c>
      <c r="J10" s="99" t="s">
        <v>12</v>
      </c>
      <c r="K10" s="99" t="s">
        <v>9</v>
      </c>
      <c r="L10" s="99" t="s">
        <v>13</v>
      </c>
      <c r="M10" s="101" t="s">
        <v>22</v>
      </c>
      <c r="N10" s="102"/>
      <c r="O10" s="99" t="s">
        <v>4</v>
      </c>
      <c r="P10" s="99" t="s">
        <v>19</v>
      </c>
      <c r="Q10" s="99" t="s">
        <v>18</v>
      </c>
      <c r="R10" s="99" t="s">
        <v>17</v>
      </c>
    </row>
    <row r="11" spans="1:18" s="13" customFormat="1" ht="94.5" customHeight="1">
      <c r="A11" s="98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40" t="s">
        <v>14</v>
      </c>
      <c r="N11" s="40" t="s">
        <v>16</v>
      </c>
      <c r="O11" s="100"/>
      <c r="P11" s="100"/>
      <c r="Q11" s="100"/>
      <c r="R11" s="100"/>
    </row>
    <row r="12" spans="1:18" s="30" customFormat="1" ht="10.5" customHeight="1">
      <c r="A12" s="32">
        <v>1</v>
      </c>
      <c r="B12" s="11">
        <v>2</v>
      </c>
      <c r="C12" s="12">
        <v>3</v>
      </c>
      <c r="D12" s="11">
        <v>4</v>
      </c>
      <c r="E12" s="12">
        <v>5</v>
      </c>
      <c r="F12" s="11">
        <v>6</v>
      </c>
      <c r="G12" s="32">
        <v>7</v>
      </c>
      <c r="H12" s="11">
        <v>8</v>
      </c>
      <c r="I12" s="12">
        <v>9</v>
      </c>
      <c r="J12" s="11">
        <v>10</v>
      </c>
      <c r="K12" s="12">
        <v>11</v>
      </c>
      <c r="L12" s="11">
        <v>12</v>
      </c>
      <c r="M12" s="12">
        <v>13</v>
      </c>
      <c r="N12" s="11">
        <v>14</v>
      </c>
      <c r="O12" s="12">
        <v>15</v>
      </c>
      <c r="P12" s="11">
        <v>16</v>
      </c>
      <c r="Q12" s="12">
        <v>17</v>
      </c>
      <c r="R12" s="11">
        <v>18</v>
      </c>
    </row>
    <row r="13" spans="1:18" s="3" customFormat="1" ht="0.75" customHeight="1">
      <c r="A13" s="107" t="s">
        <v>3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9"/>
    </row>
    <row r="14" spans="1:18" s="3" customFormat="1" ht="6" hidden="1" customHeight="1">
      <c r="A14" s="33"/>
      <c r="B14" s="22"/>
      <c r="C14" s="23"/>
      <c r="D14" s="24"/>
      <c r="E14" s="25"/>
      <c r="F14" s="26"/>
      <c r="G14" s="28"/>
      <c r="H14" s="27"/>
      <c r="I14" s="28"/>
      <c r="J14" s="28"/>
      <c r="K14" s="28"/>
      <c r="L14" s="29"/>
      <c r="M14" s="28"/>
      <c r="N14" s="28"/>
      <c r="O14" s="28"/>
      <c r="P14" s="28"/>
      <c r="Q14" s="28"/>
      <c r="R14" s="34"/>
    </row>
    <row r="15" spans="1:18" s="3" customFormat="1" ht="7.5" hidden="1" customHeight="1">
      <c r="A15" s="35" t="s">
        <v>2</v>
      </c>
      <c r="B15" s="22"/>
      <c r="C15" s="23"/>
      <c r="D15" s="24"/>
      <c r="E15" s="25"/>
      <c r="F15" s="26"/>
      <c r="G15" s="28"/>
      <c r="H15" s="27"/>
      <c r="I15" s="28"/>
      <c r="J15" s="28"/>
      <c r="K15" s="28"/>
      <c r="L15" s="29"/>
      <c r="M15" s="28"/>
      <c r="N15" s="28"/>
      <c r="O15" s="28"/>
      <c r="P15" s="28"/>
      <c r="Q15" s="28"/>
      <c r="R15" s="34"/>
    </row>
    <row r="16" spans="1:18" s="3" customFormat="1" ht="32.25" customHeight="1">
      <c r="A16" s="103" t="s">
        <v>5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5"/>
    </row>
    <row r="17" spans="1:18" s="3" customFormat="1" ht="27" customHeight="1">
      <c r="A17" s="41">
        <v>11</v>
      </c>
      <c r="B17" s="22" t="s">
        <v>26</v>
      </c>
      <c r="C17" s="23" t="s">
        <v>29</v>
      </c>
      <c r="D17" s="44">
        <v>17160000</v>
      </c>
      <c r="E17" s="45">
        <v>43671</v>
      </c>
      <c r="F17" s="46" t="s">
        <v>30</v>
      </c>
      <c r="G17" s="41">
        <v>2.75</v>
      </c>
      <c r="H17" s="28">
        <v>10810000</v>
      </c>
      <c r="I17" s="22"/>
      <c r="J17" s="49"/>
      <c r="K17" s="41"/>
      <c r="L17" s="115">
        <f>1544000+1544000+1544000+1544000+1544000+1544000+1544000+2000</f>
        <v>10810000</v>
      </c>
      <c r="M17" s="115">
        <f t="shared" ref="M17:M23" si="0">H17+J17-L17</f>
        <v>0</v>
      </c>
      <c r="N17" s="49"/>
      <c r="O17" s="48">
        <v>0</v>
      </c>
      <c r="P17" s="48">
        <f>22622.12+16065.84+16612.58+1595.47+11804.81+7543.62+4325.6+529.45</f>
        <v>81099.490000000005</v>
      </c>
      <c r="Q17" s="48">
        <f>22622.12+16065.84+18208.05+11804.81+7543.62+4325.6+529.45</f>
        <v>81099.489999999991</v>
      </c>
      <c r="R17" s="49">
        <f t="shared" ref="R17:R23" si="1">O17+P17-Q17</f>
        <v>0</v>
      </c>
    </row>
    <row r="18" spans="1:18" s="3" customFormat="1" ht="28.5" hidden="1" customHeight="1">
      <c r="A18" s="41">
        <v>12</v>
      </c>
      <c r="B18" s="22"/>
      <c r="C18" s="23"/>
      <c r="D18" s="44"/>
      <c r="E18" s="45"/>
      <c r="F18" s="46"/>
      <c r="G18" s="41"/>
      <c r="H18" s="28"/>
      <c r="I18" s="22"/>
      <c r="J18" s="41"/>
      <c r="K18" s="41"/>
      <c r="L18" s="115"/>
      <c r="M18" s="115"/>
      <c r="N18" s="49"/>
      <c r="O18" s="48"/>
      <c r="P18" s="48"/>
      <c r="Q18" s="48"/>
      <c r="R18" s="49"/>
    </row>
    <row r="19" spans="1:18" s="3" customFormat="1" ht="29.25" customHeight="1">
      <c r="A19" s="41">
        <v>14</v>
      </c>
      <c r="B19" s="22" t="s">
        <v>27</v>
      </c>
      <c r="C19" s="23" t="s">
        <v>29</v>
      </c>
      <c r="D19" s="44">
        <v>15000000</v>
      </c>
      <c r="E19" s="45">
        <v>43818</v>
      </c>
      <c r="F19" s="46" t="s">
        <v>30</v>
      </c>
      <c r="G19" s="41">
        <v>2.75</v>
      </c>
      <c r="H19" s="28">
        <v>5000000</v>
      </c>
      <c r="I19" s="22"/>
      <c r="J19" s="49"/>
      <c r="K19" s="41"/>
      <c r="L19" s="115">
        <f>450000+450000+450000+450000+450000+450000+450000+450000+450000+450000</f>
        <v>4500000</v>
      </c>
      <c r="M19" s="115">
        <f t="shared" si="0"/>
        <v>500000</v>
      </c>
      <c r="N19" s="49"/>
      <c r="O19" s="48">
        <v>0</v>
      </c>
      <c r="P19" s="48">
        <f>10650.45+8346.98+8898.97+465+7494.24+6255.81+5128.15+4038.75+3082.53+1928.55+1096.68</f>
        <v>57386.11</v>
      </c>
      <c r="Q19" s="48">
        <f>10650.45+8346.98+9363.97+7494.24+6255.81+5128.15+4038.75+3082.53+1928.55</f>
        <v>56289.43</v>
      </c>
      <c r="R19" s="49">
        <f t="shared" si="1"/>
        <v>1096.6800000000003</v>
      </c>
    </row>
    <row r="20" spans="1:18" s="3" customFormat="1" ht="32.25" customHeight="1">
      <c r="A20" s="41">
        <v>15</v>
      </c>
      <c r="B20" s="22" t="s">
        <v>28</v>
      </c>
      <c r="C20" s="23" t="s">
        <v>29</v>
      </c>
      <c r="D20" s="44">
        <v>5000000</v>
      </c>
      <c r="E20" s="45">
        <v>43822</v>
      </c>
      <c r="F20" s="46" t="s">
        <v>30</v>
      </c>
      <c r="G20" s="41">
        <v>2.75</v>
      </c>
      <c r="H20" s="28">
        <v>1812000</v>
      </c>
      <c r="I20" s="22"/>
      <c r="J20" s="49"/>
      <c r="K20" s="41"/>
      <c r="L20" s="115">
        <f>151000+151000+151000+151000+151000+151000+151000+151000+151000+151000</f>
        <v>1510000</v>
      </c>
      <c r="M20" s="115">
        <f t="shared" si="0"/>
        <v>302000</v>
      </c>
      <c r="N20" s="49"/>
      <c r="O20" s="48">
        <v>0</v>
      </c>
      <c r="P20" s="48">
        <f>3868.27+3066.84+3280.55+156.03+2799.69+2393.62+2001.44+1639.29+1309.91+906.97+631.51</f>
        <v>22054.12</v>
      </c>
      <c r="Q20" s="48">
        <f>3868.27+3066.84+3436.58+2799.69+2393.62+2001.44+1639.29+1309.91+906.97</f>
        <v>21422.61</v>
      </c>
      <c r="R20" s="49">
        <f t="shared" si="1"/>
        <v>631.5099999999984</v>
      </c>
    </row>
    <row r="21" spans="1:18" s="3" customFormat="1" ht="42" customHeight="1">
      <c r="A21" s="71">
        <v>17</v>
      </c>
      <c r="B21" s="22" t="s">
        <v>42</v>
      </c>
      <c r="C21" s="23" t="s">
        <v>29</v>
      </c>
      <c r="D21" s="44">
        <v>15000000</v>
      </c>
      <c r="E21" s="61">
        <v>43981</v>
      </c>
      <c r="F21" s="46" t="s">
        <v>30</v>
      </c>
      <c r="G21" s="48">
        <v>2.75</v>
      </c>
      <c r="H21" s="28">
        <v>7747000</v>
      </c>
      <c r="I21" s="72"/>
      <c r="J21" s="48"/>
      <c r="K21" s="28"/>
      <c r="L21" s="90">
        <f>596000+596000+596000+596000+596000+596000+596000+596000</f>
        <v>4768000</v>
      </c>
      <c r="M21" s="115">
        <f t="shared" si="0"/>
        <v>2979000</v>
      </c>
      <c r="N21" s="28"/>
      <c r="O21" s="28">
        <v>0</v>
      </c>
      <c r="P21" s="48">
        <f>615.87+89063.44</f>
        <v>89679.31</v>
      </c>
      <c r="Q21" s="48">
        <f>615.87+89063.44</f>
        <v>89679.31</v>
      </c>
      <c r="R21" s="49">
        <f t="shared" si="1"/>
        <v>0</v>
      </c>
    </row>
    <row r="22" spans="1:18" s="3" customFormat="1" ht="29.25" customHeight="1">
      <c r="A22" s="71">
        <v>18</v>
      </c>
      <c r="B22" s="22" t="s">
        <v>43</v>
      </c>
      <c r="C22" s="23" t="s">
        <v>29</v>
      </c>
      <c r="D22" s="44">
        <v>1800000</v>
      </c>
      <c r="E22" s="61">
        <v>44185</v>
      </c>
      <c r="F22" s="46" t="s">
        <v>30</v>
      </c>
      <c r="G22" s="48">
        <v>2.75</v>
      </c>
      <c r="H22" s="28">
        <v>1140000</v>
      </c>
      <c r="I22" s="72"/>
      <c r="J22" s="48"/>
      <c r="K22" s="28"/>
      <c r="L22" s="90">
        <f>60000+60000+60000+60000+60000+60000+60000+60000+60000+60000</f>
        <v>600000</v>
      </c>
      <c r="M22" s="115">
        <f t="shared" si="0"/>
        <v>540000</v>
      </c>
      <c r="N22" s="28"/>
      <c r="O22" s="28">
        <v>0</v>
      </c>
      <c r="P22" s="48">
        <f>62+12309.86</f>
        <v>12371.86</v>
      </c>
      <c r="Q22" s="48">
        <f>62+12309.86</f>
        <v>12371.86</v>
      </c>
      <c r="R22" s="49">
        <f t="shared" si="1"/>
        <v>0</v>
      </c>
    </row>
    <row r="23" spans="1:18" s="3" customFormat="1" ht="29.25" customHeight="1">
      <c r="A23" s="71">
        <v>19</v>
      </c>
      <c r="B23" s="22" t="s">
        <v>48</v>
      </c>
      <c r="C23" s="23" t="s">
        <v>29</v>
      </c>
      <c r="D23" s="44">
        <v>8200000</v>
      </c>
      <c r="E23" s="61">
        <v>44189</v>
      </c>
      <c r="F23" s="46" t="s">
        <v>30</v>
      </c>
      <c r="G23" s="48">
        <v>2.75</v>
      </c>
      <c r="H23" s="28">
        <v>5470000</v>
      </c>
      <c r="I23" s="72"/>
      <c r="J23" s="48"/>
      <c r="K23" s="28"/>
      <c r="L23" s="90">
        <f>273000+273000+273000+273000+273000+273000+273000+273000</f>
        <v>2184000</v>
      </c>
      <c r="M23" s="115">
        <f t="shared" si="0"/>
        <v>3286000</v>
      </c>
      <c r="N23" s="28"/>
      <c r="O23" s="28">
        <v>0</v>
      </c>
      <c r="P23" s="48">
        <f>282.1+65423.6</f>
        <v>65705.7</v>
      </c>
      <c r="Q23" s="28">
        <f>282.1+65423.6</f>
        <v>65705.7</v>
      </c>
      <c r="R23" s="49">
        <f t="shared" si="1"/>
        <v>0</v>
      </c>
    </row>
    <row r="24" spans="1:18" s="3" customFormat="1" ht="29.25" customHeight="1">
      <c r="A24" s="71"/>
      <c r="B24" s="22"/>
      <c r="C24" s="23"/>
      <c r="D24" s="44"/>
      <c r="E24" s="61"/>
      <c r="F24" s="46"/>
      <c r="G24" s="48"/>
      <c r="H24" s="28"/>
      <c r="I24" s="72"/>
      <c r="J24" s="48"/>
      <c r="K24" s="28"/>
      <c r="L24" s="90"/>
      <c r="M24" s="115"/>
      <c r="N24" s="28"/>
      <c r="O24" s="28"/>
      <c r="P24" s="48"/>
      <c r="Q24" s="28"/>
      <c r="R24" s="49"/>
    </row>
    <row r="25" spans="1:18" s="3" customFormat="1" ht="18.75" customHeight="1">
      <c r="A25" s="43">
        <v>21</v>
      </c>
      <c r="B25" s="22"/>
      <c r="C25" s="23"/>
      <c r="D25" s="44"/>
      <c r="E25" s="26"/>
      <c r="F25" s="46"/>
      <c r="G25" s="28"/>
      <c r="H25" s="28">
        <f t="shared" ref="H25:R25" si="2">H17+H19+H20+H21+H22+H23</f>
        <v>31979000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90">
        <f t="shared" si="2"/>
        <v>24372000</v>
      </c>
      <c r="M25" s="90">
        <f t="shared" si="2"/>
        <v>7607000</v>
      </c>
      <c r="N25" s="28">
        <f t="shared" si="2"/>
        <v>0</v>
      </c>
      <c r="O25" s="28">
        <f t="shared" si="2"/>
        <v>0</v>
      </c>
      <c r="P25" s="48">
        <f t="shared" si="2"/>
        <v>328296.59000000003</v>
      </c>
      <c r="Q25" s="48">
        <f t="shared" si="2"/>
        <v>326568.39999999997</v>
      </c>
      <c r="R25" s="48">
        <f t="shared" si="2"/>
        <v>1728.1899999999987</v>
      </c>
    </row>
    <row r="26" spans="1:18" s="3" customFormat="1" ht="18.75" customHeight="1">
      <c r="A26" s="73"/>
      <c r="B26" s="23"/>
      <c r="C26" s="23"/>
      <c r="D26" s="74"/>
      <c r="E26" s="25"/>
      <c r="F26" s="25"/>
      <c r="G26" s="27"/>
      <c r="H26" s="27"/>
      <c r="I26" s="75"/>
      <c r="J26" s="56"/>
      <c r="K26" s="27"/>
      <c r="L26" s="27"/>
      <c r="M26" s="27"/>
      <c r="N26" s="27"/>
      <c r="O26" s="56"/>
      <c r="P26" s="56"/>
      <c r="Q26" s="56"/>
      <c r="R26" s="56"/>
    </row>
    <row r="27" spans="1:18" s="3" customFormat="1" ht="31.5" customHeight="1">
      <c r="A27" s="103" t="s">
        <v>20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5"/>
    </row>
    <row r="28" spans="1:18" s="3" customFormat="1" ht="58.5" customHeight="1">
      <c r="A28" s="76">
        <v>1</v>
      </c>
      <c r="B28" s="22" t="s">
        <v>45</v>
      </c>
      <c r="C28" s="23" t="s">
        <v>44</v>
      </c>
      <c r="D28" s="44">
        <v>15000000</v>
      </c>
      <c r="E28" s="45">
        <v>43751</v>
      </c>
      <c r="F28" s="46" t="s">
        <v>30</v>
      </c>
      <c r="G28" s="77">
        <v>10.183999999999999</v>
      </c>
      <c r="H28" s="48">
        <v>7900000</v>
      </c>
      <c r="I28" s="56"/>
      <c r="J28" s="60"/>
      <c r="K28" s="93" t="s">
        <v>74</v>
      </c>
      <c r="L28" s="57">
        <v>7900000</v>
      </c>
      <c r="M28" s="49">
        <f>H28+J28-L28</f>
        <v>0</v>
      </c>
      <c r="N28" s="49"/>
      <c r="O28" s="49"/>
      <c r="P28" s="92">
        <f>68330.45+61717.83+68330.45+66126.25+68330.45+66126.25+68330.45+68330.45+22042.08</f>
        <v>557664.65999999992</v>
      </c>
      <c r="Q28" s="48">
        <f>68330.45+61717.83+68330.45+66126.25+68330.45+66126.25+68330.45+68330.45+22042.08</f>
        <v>557664.65999999992</v>
      </c>
      <c r="R28" s="49">
        <f>O28+P28-Q28</f>
        <v>0</v>
      </c>
    </row>
    <row r="29" spans="1:18" s="3" customFormat="1" ht="49.5" customHeight="1">
      <c r="A29" s="76">
        <v>2</v>
      </c>
      <c r="B29" s="22" t="s">
        <v>46</v>
      </c>
      <c r="C29" s="23" t="s">
        <v>47</v>
      </c>
      <c r="D29" s="44">
        <v>9000000</v>
      </c>
      <c r="E29" s="45">
        <v>43764</v>
      </c>
      <c r="F29" s="46" t="s">
        <v>30</v>
      </c>
      <c r="G29" s="77">
        <v>12</v>
      </c>
      <c r="H29" s="48">
        <v>1757000</v>
      </c>
      <c r="I29" s="56"/>
      <c r="J29" s="60"/>
      <c r="K29" s="78" t="s">
        <v>66</v>
      </c>
      <c r="L29" s="57">
        <v>1757000</v>
      </c>
      <c r="M29" s="49">
        <f t="shared" ref="M29:M31" si="3">H29+J29-L29</f>
        <v>0</v>
      </c>
      <c r="N29" s="49"/>
      <c r="O29" s="49"/>
      <c r="P29" s="92">
        <v>17906.96</v>
      </c>
      <c r="Q29" s="48">
        <v>17906.96</v>
      </c>
      <c r="R29" s="49">
        <f>O29+P29-Q29</f>
        <v>0</v>
      </c>
    </row>
    <row r="30" spans="1:18" s="3" customFormat="1" ht="49.5" customHeight="1">
      <c r="A30" s="76">
        <v>3</v>
      </c>
      <c r="B30" s="22" t="s">
        <v>49</v>
      </c>
      <c r="C30" s="23" t="s">
        <v>44</v>
      </c>
      <c r="D30" s="44">
        <v>15000000</v>
      </c>
      <c r="E30" s="45">
        <v>43917</v>
      </c>
      <c r="F30" s="46" t="s">
        <v>30</v>
      </c>
      <c r="G30" s="77">
        <v>8.5</v>
      </c>
      <c r="H30" s="48">
        <v>15000000</v>
      </c>
      <c r="I30" s="56">
        <v>0</v>
      </c>
      <c r="J30" s="60"/>
      <c r="K30" s="78"/>
      <c r="L30" s="57"/>
      <c r="M30" s="49">
        <f t="shared" si="3"/>
        <v>15000000</v>
      </c>
      <c r="N30" s="49"/>
      <c r="O30" s="49"/>
      <c r="P30" s="92">
        <f>108287.67+97808.22+108287.67+104794.52+108287.67+104794.52+108287.67+108287.67+104794.52+108287.67</f>
        <v>1061917.8</v>
      </c>
      <c r="Q30" s="48">
        <f>108287.67+97808.22+108287.67+104794.52+108287.67+104794.52+108287.67+108287.67+104794.52+108287.67</f>
        <v>1061917.8</v>
      </c>
      <c r="R30" s="49">
        <f>O30+P30-Q30</f>
        <v>0</v>
      </c>
    </row>
    <row r="31" spans="1:18" s="3" customFormat="1" ht="49.5" customHeight="1">
      <c r="A31" s="76">
        <v>4</v>
      </c>
      <c r="B31" s="22" t="s">
        <v>55</v>
      </c>
      <c r="C31" s="23" t="s">
        <v>44</v>
      </c>
      <c r="D31" s="44">
        <v>20000000</v>
      </c>
      <c r="E31" s="45">
        <v>44039</v>
      </c>
      <c r="F31" s="46" t="s">
        <v>30</v>
      </c>
      <c r="G31" s="77">
        <v>8.25</v>
      </c>
      <c r="H31" s="48">
        <v>20000000</v>
      </c>
      <c r="I31" s="56">
        <v>0</v>
      </c>
      <c r="J31" s="60"/>
      <c r="K31" s="78"/>
      <c r="L31" s="57"/>
      <c r="M31" s="49">
        <f t="shared" si="3"/>
        <v>20000000</v>
      </c>
      <c r="N31" s="49"/>
      <c r="O31" s="49"/>
      <c r="P31" s="92">
        <f>140136.99+126575.34+140136.99+135616.44+140136.99+135616.44+140136.99+140136.99+135616.44+140136.99</f>
        <v>1374246.5999999999</v>
      </c>
      <c r="Q31" s="48">
        <f>140136.99+126575.34+140136.99+135616.44+140136.99+135616.44+140136.99+140136.99+135616.44+140136.99</f>
        <v>1374246.5999999999</v>
      </c>
      <c r="R31" s="49">
        <f>O31+P31-Q31</f>
        <v>0</v>
      </c>
    </row>
    <row r="32" spans="1:18" s="3" customFormat="1" ht="49.5" customHeight="1">
      <c r="A32" s="76">
        <v>5</v>
      </c>
      <c r="B32" s="22" t="s">
        <v>80</v>
      </c>
      <c r="C32" s="23" t="s">
        <v>44</v>
      </c>
      <c r="D32" s="44">
        <v>20000000</v>
      </c>
      <c r="E32" s="45">
        <v>44439</v>
      </c>
      <c r="F32" s="46" t="s">
        <v>30</v>
      </c>
      <c r="G32" s="77">
        <v>8.6999999999999993</v>
      </c>
      <c r="H32" s="48">
        <v>0</v>
      </c>
      <c r="I32" s="56"/>
      <c r="J32" s="60">
        <v>20000000</v>
      </c>
      <c r="K32" s="78"/>
      <c r="L32" s="57"/>
      <c r="M32" s="49">
        <f>H32+J32-L32</f>
        <v>20000000</v>
      </c>
      <c r="N32" s="49"/>
      <c r="O32" s="49"/>
      <c r="P32" s="92">
        <f>100109.59+147780.82</f>
        <v>247890.41</v>
      </c>
      <c r="Q32" s="48">
        <f>100109.59+147780.82</f>
        <v>247890.41</v>
      </c>
      <c r="R32" s="49">
        <f>O32+P32-Q32</f>
        <v>0</v>
      </c>
    </row>
    <row r="33" spans="1:18" s="3" customFormat="1" ht="18.75" customHeight="1">
      <c r="A33" s="35" t="s">
        <v>2</v>
      </c>
      <c r="B33" s="22"/>
      <c r="C33" s="23"/>
      <c r="D33" s="44">
        <f>D28+D29+D30+D31+D32</f>
        <v>79000000</v>
      </c>
      <c r="E33" s="44"/>
      <c r="F33" s="44"/>
      <c r="G33" s="44"/>
      <c r="H33" s="44">
        <f t="shared" ref="H33:O33" si="4">H28+H29+H30+H31</f>
        <v>44657000</v>
      </c>
      <c r="I33" s="44">
        <f t="shared" si="4"/>
        <v>0</v>
      </c>
      <c r="J33" s="44">
        <f>J28+J29+J30+J31+J32</f>
        <v>20000000</v>
      </c>
      <c r="K33" s="44"/>
      <c r="L33" s="44">
        <f>L28+L29+L30+L31+L32</f>
        <v>9657000</v>
      </c>
      <c r="M33" s="44">
        <f>M28+M29+M30+M31+M32</f>
        <v>55000000</v>
      </c>
      <c r="N33" s="44">
        <f t="shared" si="4"/>
        <v>0</v>
      </c>
      <c r="O33" s="44">
        <f t="shared" si="4"/>
        <v>0</v>
      </c>
      <c r="P33" s="44">
        <f>P28+P29+P30+P31+P32</f>
        <v>3259626.4299999997</v>
      </c>
      <c r="Q33" s="44">
        <f>Q28+Q29+Q30+Q31+Q32</f>
        <v>3259626.4299999997</v>
      </c>
      <c r="R33" s="44">
        <f>R28+R29+R30+R31+R32</f>
        <v>0</v>
      </c>
    </row>
    <row r="34" spans="1:18" s="3" customFormat="1" ht="0.75" customHeight="1">
      <c r="A34" s="103" t="s">
        <v>21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5"/>
    </row>
    <row r="35" spans="1:18" s="3" customFormat="1" ht="8.25" hidden="1" customHeight="1">
      <c r="A35" s="33"/>
      <c r="B35" s="22"/>
      <c r="C35" s="23"/>
      <c r="D35" s="24"/>
      <c r="E35" s="25"/>
      <c r="F35" s="26"/>
      <c r="G35" s="28"/>
      <c r="H35" s="27"/>
      <c r="I35" s="28"/>
      <c r="J35" s="28"/>
      <c r="K35" s="28"/>
      <c r="L35" s="29"/>
      <c r="M35" s="28"/>
      <c r="N35" s="28"/>
      <c r="O35" s="28"/>
      <c r="P35" s="28"/>
      <c r="Q35" s="28"/>
      <c r="R35" s="34"/>
    </row>
    <row r="36" spans="1:18" s="3" customFormat="1" ht="18.75" customHeight="1">
      <c r="A36" s="35" t="s">
        <v>31</v>
      </c>
      <c r="B36" s="22"/>
      <c r="C36" s="23"/>
      <c r="D36" s="44">
        <f>D25+D33+D30</f>
        <v>94000000</v>
      </c>
      <c r="E36" s="44"/>
      <c r="F36" s="44"/>
      <c r="G36" s="44"/>
      <c r="H36" s="44">
        <f>H25+H33</f>
        <v>76636000</v>
      </c>
      <c r="I36" s="44">
        <f>I25+I33</f>
        <v>0</v>
      </c>
      <c r="J36" s="44">
        <f>J25+J33</f>
        <v>20000000</v>
      </c>
      <c r="K36" s="44"/>
      <c r="L36" s="44">
        <f t="shared" ref="L36:R36" si="5">L25+L33</f>
        <v>34029000</v>
      </c>
      <c r="M36" s="87">
        <f t="shared" si="5"/>
        <v>62607000</v>
      </c>
      <c r="N36" s="44">
        <f t="shared" si="5"/>
        <v>0</v>
      </c>
      <c r="O36" s="44">
        <f t="shared" si="5"/>
        <v>0</v>
      </c>
      <c r="P36" s="44">
        <f t="shared" si="5"/>
        <v>3587923.0199999996</v>
      </c>
      <c r="Q36" s="44">
        <f t="shared" si="5"/>
        <v>3586194.8299999996</v>
      </c>
      <c r="R36" s="44">
        <f t="shared" si="5"/>
        <v>1728.1899999999987</v>
      </c>
    </row>
    <row r="37" spans="1:18" s="19" customFormat="1" ht="33" hidden="1" customHeight="1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</row>
    <row r="38" spans="1:18" ht="10.5" customHeight="1">
      <c r="A38" s="14"/>
      <c r="B38" s="15"/>
      <c r="C38" s="15"/>
      <c r="D38" s="16"/>
      <c r="E38" s="18"/>
      <c r="F38" s="18"/>
      <c r="G38" s="20"/>
      <c r="H38" s="20"/>
      <c r="I38" s="21"/>
      <c r="J38" s="21"/>
      <c r="K38" s="21"/>
      <c r="L38" s="21"/>
      <c r="M38" s="20"/>
      <c r="N38" s="20"/>
      <c r="O38" s="20"/>
      <c r="P38" s="20"/>
      <c r="Q38" s="20"/>
      <c r="R38" s="20"/>
    </row>
    <row r="39" spans="1:18">
      <c r="A39" s="36" t="s">
        <v>50</v>
      </c>
      <c r="B39" s="37"/>
      <c r="C39" s="37"/>
      <c r="D39" s="38"/>
      <c r="E39" s="39"/>
      <c r="F39" s="39"/>
      <c r="H39" s="36"/>
      <c r="I39" s="36"/>
    </row>
    <row r="41" spans="1:18">
      <c r="A41" s="36" t="s">
        <v>67</v>
      </c>
      <c r="B41" s="37"/>
      <c r="C41" s="37"/>
      <c r="D41" s="38"/>
      <c r="E41" s="39"/>
      <c r="F41" s="39"/>
      <c r="H41" s="36"/>
      <c r="I41" s="36"/>
    </row>
    <row r="43" spans="1:18">
      <c r="A43" s="36" t="s">
        <v>73</v>
      </c>
      <c r="B43" s="37"/>
      <c r="C43" s="37"/>
      <c r="D43" s="38"/>
      <c r="E43" s="39"/>
      <c r="F43" s="39"/>
      <c r="H43" s="36"/>
      <c r="I43" s="36"/>
    </row>
    <row r="47" spans="1:18">
      <c r="A47" s="36"/>
      <c r="B47" s="37"/>
      <c r="C47" s="37"/>
      <c r="D47" s="38"/>
      <c r="E47" s="39"/>
      <c r="F47" s="39"/>
      <c r="H47" s="36"/>
      <c r="I47" s="36"/>
    </row>
    <row r="58" spans="2:2" ht="16.5" customHeight="1"/>
    <row r="59" spans="2:2" ht="30" customHeight="1">
      <c r="B59" s="17"/>
    </row>
  </sheetData>
  <mergeCells count="24">
    <mergeCell ref="A34:R34"/>
    <mergeCell ref="A37:R37"/>
    <mergeCell ref="O10:O11"/>
    <mergeCell ref="P10:P11"/>
    <mergeCell ref="Q10:Q11"/>
    <mergeCell ref="R10:R11"/>
    <mergeCell ref="A13:R13"/>
    <mergeCell ref="A16:R16"/>
    <mergeCell ref="H10:H11"/>
    <mergeCell ref="B10:B11"/>
    <mergeCell ref="C10:C11"/>
    <mergeCell ref="D10:D11"/>
    <mergeCell ref="E10:E11"/>
    <mergeCell ref="F10:F11"/>
    <mergeCell ref="A27:R27"/>
    <mergeCell ref="G10:G11"/>
    <mergeCell ref="Q1:R2"/>
    <mergeCell ref="E7:L7"/>
    <mergeCell ref="A10:A11"/>
    <mergeCell ref="I10:I11"/>
    <mergeCell ref="J10:J11"/>
    <mergeCell ref="K10:K11"/>
    <mergeCell ref="L10:L11"/>
    <mergeCell ref="M10:N10"/>
  </mergeCells>
  <phoneticPr fontId="7" type="noConversion"/>
  <pageMargins left="0.23622047244094491" right="0.15748031496062992" top="0.27559055118110237" bottom="0.27559055118110237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zoomScaleNormal="100" workbookViewId="0">
      <selection activeCell="D6" sqref="D6"/>
    </sheetView>
  </sheetViews>
  <sheetFormatPr defaultRowHeight="12.75"/>
  <cols>
    <col min="2" max="2" width="13.42578125" customWidth="1"/>
    <col min="3" max="3" width="9.140625" customWidth="1"/>
    <col min="4" max="4" width="15" customWidth="1"/>
    <col min="5" max="5" width="12.140625" customWidth="1"/>
    <col min="6" max="6" width="12.28515625" customWidth="1"/>
    <col min="7" max="7" width="10.7109375" customWidth="1"/>
    <col min="8" max="8" width="14.42578125" customWidth="1"/>
    <col min="9" max="11" width="9.28515625" bestFit="1" customWidth="1"/>
    <col min="12" max="12" width="12.42578125" customWidth="1"/>
    <col min="13" max="13" width="14.5703125" customWidth="1"/>
    <col min="14" max="14" width="15.5703125" customWidth="1"/>
    <col min="15" max="15" width="10.7109375" customWidth="1"/>
    <col min="16" max="16" width="11.42578125" customWidth="1"/>
    <col min="17" max="17" width="13.28515625" customWidth="1"/>
    <col min="18" max="18" width="11.5703125" bestFit="1" customWidth="1"/>
  </cols>
  <sheetData>
    <row r="1" spans="1:20" ht="18.75">
      <c r="A1" s="94" t="s">
        <v>76</v>
      </c>
      <c r="B1" s="94"/>
      <c r="C1" s="94"/>
      <c r="D1" s="94"/>
      <c r="E1" s="94"/>
      <c r="F1" s="94"/>
      <c r="G1" s="94"/>
      <c r="H1" s="94"/>
      <c r="I1" s="94" t="str">
        <f>район!G3</f>
        <v>на 1 НОЯБРЯ 2019года</v>
      </c>
      <c r="J1" s="94"/>
      <c r="K1" s="94"/>
      <c r="L1" s="94"/>
      <c r="M1" s="94"/>
      <c r="N1" s="94"/>
      <c r="O1" s="94"/>
      <c r="P1" s="94"/>
      <c r="Q1" s="94"/>
      <c r="R1" s="94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7"/>
      <c r="F5" s="97"/>
      <c r="G5" s="97"/>
      <c r="H5" s="97"/>
      <c r="I5" s="97"/>
      <c r="J5" s="97"/>
      <c r="K5" s="97"/>
      <c r="L5" s="97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8" t="s">
        <v>1</v>
      </c>
      <c r="B8" s="99" t="s">
        <v>23</v>
      </c>
      <c r="C8" s="99" t="s">
        <v>11</v>
      </c>
      <c r="D8" s="99" t="s">
        <v>24</v>
      </c>
      <c r="E8" s="99" t="s">
        <v>25</v>
      </c>
      <c r="F8" s="99" t="s">
        <v>7</v>
      </c>
      <c r="G8" s="99" t="s">
        <v>0</v>
      </c>
      <c r="H8" s="99" t="s">
        <v>15</v>
      </c>
      <c r="I8" s="99" t="s">
        <v>8</v>
      </c>
      <c r="J8" s="99" t="s">
        <v>12</v>
      </c>
      <c r="K8" s="99" t="s">
        <v>9</v>
      </c>
      <c r="L8" s="99" t="s">
        <v>13</v>
      </c>
      <c r="M8" s="101" t="s">
        <v>22</v>
      </c>
      <c r="N8" s="102"/>
      <c r="O8" s="99" t="s">
        <v>4</v>
      </c>
      <c r="P8" s="99" t="s">
        <v>19</v>
      </c>
      <c r="Q8" s="99" t="s">
        <v>18</v>
      </c>
      <c r="R8" s="99" t="s">
        <v>17</v>
      </c>
      <c r="S8" s="1"/>
      <c r="T8" s="1"/>
    </row>
    <row r="9" spans="1:20" ht="33.75">
      <c r="A9" s="98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55" t="s">
        <v>14</v>
      </c>
      <c r="N9" s="55" t="s">
        <v>16</v>
      </c>
      <c r="O9" s="100"/>
      <c r="P9" s="100"/>
      <c r="Q9" s="100"/>
      <c r="R9" s="100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7" t="s">
        <v>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3" t="s">
        <v>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5"/>
      <c r="S14" s="3"/>
      <c r="T14" s="3"/>
    </row>
    <row r="15" spans="1:20" ht="105">
      <c r="A15" s="41">
        <v>1</v>
      </c>
      <c r="B15" s="22" t="s">
        <v>33</v>
      </c>
      <c r="C15" s="22" t="s">
        <v>37</v>
      </c>
      <c r="D15" s="44">
        <v>800000</v>
      </c>
      <c r="E15" s="61">
        <v>42819</v>
      </c>
      <c r="F15" s="26" t="s">
        <v>39</v>
      </c>
      <c r="G15" s="48">
        <f>8.25*1/3</f>
        <v>2.75</v>
      </c>
      <c r="H15" s="28">
        <v>495000</v>
      </c>
      <c r="I15" s="41"/>
      <c r="J15" s="41"/>
      <c r="K15" s="41"/>
      <c r="L15" s="41"/>
      <c r="M15" s="115">
        <f>H15+J15-L15</f>
        <v>495000</v>
      </c>
      <c r="N15" s="115">
        <v>495000</v>
      </c>
      <c r="O15" s="90">
        <v>13795.48</v>
      </c>
      <c r="P15" s="90">
        <f>1086.06+5.68+26.35+980.96+5.05+13.18+1086.06+4.56+26.35+1051.03+5.61+21.96+1086.06+26.35+5.7+1035.21+1051.03+5.43+25.5+1051.03+5.52+25.5+958.36+3498+84.53+980.96+3580.5+163.86</f>
        <v>17896.390000000003</v>
      </c>
      <c r="Q15" s="90">
        <v>4312.8500000000004</v>
      </c>
      <c r="R15" s="115">
        <f>O15+P15-Q15</f>
        <v>27379.020000000004</v>
      </c>
      <c r="S15" s="3"/>
      <c r="T15" s="3"/>
    </row>
    <row r="16" spans="1:20" ht="105">
      <c r="A16" s="41">
        <v>2</v>
      </c>
      <c r="B16" s="22" t="s">
        <v>34</v>
      </c>
      <c r="C16" s="22" t="s">
        <v>37</v>
      </c>
      <c r="D16" s="44">
        <v>1500000</v>
      </c>
      <c r="E16" s="61">
        <v>43459</v>
      </c>
      <c r="F16" s="26" t="s">
        <v>39</v>
      </c>
      <c r="G16" s="48">
        <v>2.75</v>
      </c>
      <c r="H16" s="28">
        <v>1356500</v>
      </c>
      <c r="I16" s="41"/>
      <c r="J16" s="41"/>
      <c r="K16" s="41"/>
      <c r="L16" s="41"/>
      <c r="M16" s="115">
        <f>H16+J16-L16</f>
        <v>1356500</v>
      </c>
      <c r="N16" s="115">
        <v>1356500</v>
      </c>
      <c r="O16" s="90">
        <v>38042.15</v>
      </c>
      <c r="P16" s="90">
        <f>2976.25+55.8+15.89+2688.22+27.9+13.84+2976.25+27.9+13.84+2880.24+46.5+15.38+2976.25+55.8+15.63+2836.88+2880.24+54+14.89+2880.24+54+15.12+958.36+3498+84.53273954+9999.33+239.83+2688.22+9812.02+467.31</f>
        <v>51268.662739539999</v>
      </c>
      <c r="Q16" s="90">
        <v>11738.01</v>
      </c>
      <c r="R16" s="115">
        <f>O16+P16-Q16</f>
        <v>77572.802739540013</v>
      </c>
      <c r="S16" s="3"/>
      <c r="T16" s="3"/>
    </row>
    <row r="17" spans="1:20" ht="105">
      <c r="A17" s="41">
        <v>3</v>
      </c>
      <c r="B17" s="22" t="s">
        <v>35</v>
      </c>
      <c r="C17" s="22" t="s">
        <v>37</v>
      </c>
      <c r="D17" s="44">
        <v>1750000</v>
      </c>
      <c r="E17" s="61">
        <v>43671</v>
      </c>
      <c r="F17" s="26" t="s">
        <v>39</v>
      </c>
      <c r="G17" s="48">
        <v>2.75</v>
      </c>
      <c r="H17" s="28">
        <v>1745000</v>
      </c>
      <c r="I17" s="41"/>
      <c r="J17" s="41"/>
      <c r="K17" s="41"/>
      <c r="L17" s="41"/>
      <c r="M17" s="115">
        <f>H17+J17-L17</f>
        <v>1745000</v>
      </c>
      <c r="N17" s="115">
        <v>1745000</v>
      </c>
      <c r="O17" s="90">
        <v>4709.6899999999996</v>
      </c>
      <c r="P17" s="90">
        <f>3828.64+6.46+20.4+3458.13+3.88+17.8+3828.64+7.75+18.76+3705.14+6.46+19.78+3828.64+7.75+20.1+3585.62+3705.14+7.5+18.82+3705.14+7.5+19.45+3378.45+12331.33+91.54+3458.13+12622.17+256.18</f>
        <v>61965.299999999996</v>
      </c>
      <c r="Q17" s="90">
        <v>14921.84</v>
      </c>
      <c r="R17" s="115">
        <f>O17+P17-Q17</f>
        <v>51753.149999999994</v>
      </c>
      <c r="S17" s="3"/>
      <c r="T17" s="3"/>
    </row>
    <row r="18" spans="1:20" ht="105">
      <c r="A18" s="41">
        <v>4</v>
      </c>
      <c r="B18" s="22" t="s">
        <v>36</v>
      </c>
      <c r="C18" s="22" t="s">
        <v>37</v>
      </c>
      <c r="D18" s="44">
        <v>1420000</v>
      </c>
      <c r="E18" s="61">
        <v>43824</v>
      </c>
      <c r="F18" s="26" t="s">
        <v>39</v>
      </c>
      <c r="G18" s="48">
        <v>2.75</v>
      </c>
      <c r="H18" s="28">
        <v>1415000</v>
      </c>
      <c r="I18" s="41"/>
      <c r="J18" s="41"/>
      <c r="K18" s="41"/>
      <c r="L18" s="41"/>
      <c r="M18" s="115">
        <f>H18+J18-L18</f>
        <v>1415000</v>
      </c>
      <c r="N18" s="115">
        <v>1415000</v>
      </c>
      <c r="O18" s="90">
        <v>38625.760000000002</v>
      </c>
      <c r="P18" s="90">
        <f>3104.6+220.1+16.58+2804.16+110.05+14.44+3104.6+220.1+15.21+3004.45+183.42+16.04+3104.6+220.1+16.3+2959.22+3004.45+213+15.54+3004.45+213+15.77+2626.28+9585.93+232.52+2804.16+10235.17+461.75</f>
        <v>51525.989999999991</v>
      </c>
      <c r="Q18" s="90">
        <v>12813.75</v>
      </c>
      <c r="R18" s="115">
        <f>O18+P18-Q18</f>
        <v>77338</v>
      </c>
      <c r="S18" s="3"/>
      <c r="T18" s="3"/>
    </row>
    <row r="19" spans="1:20" ht="15">
      <c r="A19" s="42"/>
      <c r="B19" s="22"/>
      <c r="C19" s="22"/>
      <c r="D19" s="44">
        <f>D15+D16+D17+D18</f>
        <v>5470000</v>
      </c>
      <c r="E19" s="44"/>
      <c r="F19" s="44"/>
      <c r="G19" s="44"/>
      <c r="H19" s="44">
        <f t="shared" ref="H19:R19" si="0">H15+H16+H17+H18</f>
        <v>5011500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87">
        <f t="shared" si="0"/>
        <v>5011500</v>
      </c>
      <c r="N19" s="87">
        <f t="shared" si="0"/>
        <v>5011500</v>
      </c>
      <c r="O19" s="87">
        <f t="shared" si="0"/>
        <v>95173.080000000016</v>
      </c>
      <c r="P19" s="87">
        <f t="shared" si="0"/>
        <v>182656.34273953998</v>
      </c>
      <c r="Q19" s="87">
        <f t="shared" si="0"/>
        <v>43786.45</v>
      </c>
      <c r="R19" s="87">
        <f t="shared" si="0"/>
        <v>234042.97273954001</v>
      </c>
      <c r="S19" s="3"/>
      <c r="T19" s="3"/>
    </row>
    <row r="20" spans="1:20" ht="15">
      <c r="A20" s="43" t="s">
        <v>2</v>
      </c>
      <c r="B20" s="22"/>
      <c r="C20" s="22"/>
      <c r="D20" s="24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"/>
      <c r="T20" s="3"/>
    </row>
    <row r="21" spans="1:20" ht="15">
      <c r="A21" s="110" t="s">
        <v>20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3"/>
      <c r="T21" s="3"/>
    </row>
    <row r="22" spans="1:20" ht="15">
      <c r="A22" s="42"/>
      <c r="B22" s="22"/>
      <c r="C22" s="22"/>
      <c r="D22" s="24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3"/>
    </row>
    <row r="23" spans="1:20" ht="15">
      <c r="A23" s="43" t="s">
        <v>2</v>
      </c>
      <c r="B23" s="22"/>
      <c r="C23" s="22"/>
      <c r="D23" s="24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3"/>
    </row>
    <row r="24" spans="1:20" ht="15">
      <c r="A24" s="110" t="s">
        <v>21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3"/>
      <c r="T24" s="3"/>
    </row>
    <row r="25" spans="1:20" ht="15">
      <c r="A25" s="33"/>
      <c r="B25" s="22"/>
      <c r="C25" s="23"/>
      <c r="D25" s="24"/>
      <c r="E25" s="25"/>
      <c r="F25" s="26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34"/>
      <c r="S25" s="3"/>
      <c r="T25" s="3"/>
    </row>
    <row r="26" spans="1:20" ht="15.75" customHeight="1">
      <c r="A26" s="35" t="s">
        <v>31</v>
      </c>
      <c r="B26" s="22"/>
      <c r="C26" s="23"/>
      <c r="D26" s="87">
        <f>D19</f>
        <v>5470000</v>
      </c>
      <c r="E26" s="88"/>
      <c r="F26" s="89"/>
      <c r="G26" s="90"/>
      <c r="H26" s="91">
        <f>H19</f>
        <v>5011500</v>
      </c>
      <c r="I26" s="91">
        <f t="shared" ref="I26:R26" si="1">I19</f>
        <v>0</v>
      </c>
      <c r="J26" s="91">
        <f t="shared" si="1"/>
        <v>0</v>
      </c>
      <c r="K26" s="91">
        <f t="shared" si="1"/>
        <v>0</v>
      </c>
      <c r="L26" s="91">
        <f t="shared" si="1"/>
        <v>0</v>
      </c>
      <c r="M26" s="91">
        <f t="shared" si="1"/>
        <v>5011500</v>
      </c>
      <c r="N26" s="91">
        <f t="shared" si="1"/>
        <v>5011500</v>
      </c>
      <c r="O26" s="91">
        <f t="shared" si="1"/>
        <v>95173.080000000016</v>
      </c>
      <c r="P26" s="91">
        <f t="shared" si="1"/>
        <v>182656.34273953998</v>
      </c>
      <c r="Q26" s="91">
        <f t="shared" si="1"/>
        <v>43786.45</v>
      </c>
      <c r="R26" s="91">
        <f t="shared" si="1"/>
        <v>234042.97273954001</v>
      </c>
      <c r="S26" s="3"/>
      <c r="T26" s="3"/>
    </row>
    <row r="27" spans="1:20" ht="34.5" customHeigh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9"/>
      <c r="T27" s="19"/>
    </row>
    <row r="28" spans="1:20" ht="18.75">
      <c r="A28" s="14"/>
      <c r="B28" s="15"/>
      <c r="C28" s="15"/>
      <c r="D28" s="16"/>
      <c r="E28" s="18"/>
      <c r="F28" s="18"/>
      <c r="G28" s="20"/>
      <c r="H28" s="20"/>
      <c r="I28" s="21"/>
      <c r="J28" s="21"/>
      <c r="K28" s="21"/>
      <c r="L28" s="21"/>
      <c r="M28" s="20"/>
      <c r="N28" s="20"/>
      <c r="O28" s="20"/>
      <c r="P28" s="20"/>
      <c r="Q28" s="20"/>
      <c r="R28" s="20"/>
      <c r="S28" s="1"/>
      <c r="T28" s="1"/>
    </row>
    <row r="29" spans="1:20">
      <c r="A29" s="36" t="s">
        <v>51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68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4"/>
      <c r="C32" s="4"/>
      <c r="D32" s="8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36" t="s">
        <v>73</v>
      </c>
      <c r="B33" s="37"/>
      <c r="C33" s="37"/>
      <c r="D33" s="38"/>
      <c r="E33" s="39"/>
      <c r="F33" s="39"/>
      <c r="G33" s="1"/>
      <c r="H33" s="36"/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3">
    <mergeCell ref="A24:R24"/>
    <mergeCell ref="A27:R27"/>
    <mergeCell ref="P8:P9"/>
    <mergeCell ref="Q8:Q9"/>
    <mergeCell ref="R8:R9"/>
    <mergeCell ref="A11:R11"/>
    <mergeCell ref="A14:R14"/>
    <mergeCell ref="A21:R21"/>
    <mergeCell ref="I8:I9"/>
    <mergeCell ref="J8:J9"/>
    <mergeCell ref="K8:K9"/>
    <mergeCell ref="L8:L9"/>
    <mergeCell ref="M8:N8"/>
    <mergeCell ref="O8:O9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view="pageBreakPreview" zoomScale="60" zoomScaleNormal="100" workbookViewId="0">
      <selection activeCell="H7" sqref="H7"/>
    </sheetView>
  </sheetViews>
  <sheetFormatPr defaultRowHeight="12.75"/>
  <cols>
    <col min="1" max="1" width="9.28515625" bestFit="1" customWidth="1"/>
    <col min="2" max="2" width="10.5703125" customWidth="1"/>
    <col min="3" max="3" width="12.42578125" customWidth="1"/>
    <col min="4" max="4" width="12.7109375" bestFit="1" customWidth="1"/>
    <col min="5" max="5" width="12.7109375" customWidth="1"/>
    <col min="6" max="6" width="11.85546875" customWidth="1"/>
    <col min="7" max="7" width="9.28515625" bestFit="1" customWidth="1"/>
    <col min="8" max="8" width="10.7109375" customWidth="1"/>
    <col min="9" max="11" width="9.28515625" bestFit="1" customWidth="1"/>
    <col min="12" max="12" width="10" customWidth="1"/>
    <col min="13" max="13" width="11.28515625" customWidth="1"/>
    <col min="14" max="15" width="9.28515625" bestFit="1" customWidth="1"/>
    <col min="16" max="16" width="10.42578125" bestFit="1" customWidth="1"/>
    <col min="17" max="17" width="14" customWidth="1"/>
    <col min="18" max="18" width="12.42578125" customWidth="1"/>
  </cols>
  <sheetData>
    <row r="1" spans="1:20" ht="18.7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7"/>
      <c r="F5" s="97"/>
      <c r="G5" s="97"/>
      <c r="H5" s="97"/>
      <c r="I5" s="97"/>
      <c r="J5" s="97"/>
      <c r="K5" s="97"/>
      <c r="L5" s="97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8" t="s">
        <v>1</v>
      </c>
      <c r="B8" s="99" t="s">
        <v>23</v>
      </c>
      <c r="C8" s="99" t="s">
        <v>11</v>
      </c>
      <c r="D8" s="99" t="s">
        <v>24</v>
      </c>
      <c r="E8" s="99" t="s">
        <v>25</v>
      </c>
      <c r="F8" s="99" t="s">
        <v>7</v>
      </c>
      <c r="G8" s="99" t="s">
        <v>0</v>
      </c>
      <c r="H8" s="99" t="s">
        <v>15</v>
      </c>
      <c r="I8" s="99" t="s">
        <v>8</v>
      </c>
      <c r="J8" s="99" t="s">
        <v>12</v>
      </c>
      <c r="K8" s="99" t="s">
        <v>9</v>
      </c>
      <c r="L8" s="99" t="s">
        <v>13</v>
      </c>
      <c r="M8" s="101" t="s">
        <v>22</v>
      </c>
      <c r="N8" s="102"/>
      <c r="O8" s="99" t="s">
        <v>4</v>
      </c>
      <c r="P8" s="99" t="s">
        <v>19</v>
      </c>
      <c r="Q8" s="99" t="s">
        <v>18</v>
      </c>
      <c r="R8" s="99" t="s">
        <v>17</v>
      </c>
      <c r="S8" s="1"/>
      <c r="T8" s="1"/>
    </row>
    <row r="9" spans="1:20" ht="78.75">
      <c r="A9" s="98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55" t="s">
        <v>14</v>
      </c>
      <c r="N9" s="55" t="s">
        <v>16</v>
      </c>
      <c r="O9" s="100"/>
      <c r="P9" s="100"/>
      <c r="Q9" s="100"/>
      <c r="R9" s="100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7" t="s">
        <v>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3" t="s">
        <v>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5"/>
      <c r="S14" s="3"/>
      <c r="T14" s="3"/>
    </row>
    <row r="15" spans="1:20" ht="15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3"/>
      <c r="T15" s="3"/>
    </row>
    <row r="16" spans="1:20" ht="15">
      <c r="A16" s="41"/>
      <c r="B16" s="22"/>
      <c r="C16" s="22"/>
      <c r="D16" s="44"/>
      <c r="E16" s="61"/>
      <c r="F16" s="26"/>
      <c r="G16" s="41"/>
      <c r="H16" s="28"/>
      <c r="I16" s="41"/>
      <c r="J16" s="41"/>
      <c r="K16" s="41"/>
      <c r="L16" s="28"/>
      <c r="M16" s="47"/>
      <c r="N16" s="41"/>
      <c r="O16" s="48"/>
      <c r="P16" s="48"/>
      <c r="Q16" s="48"/>
      <c r="R16" s="49"/>
      <c r="S16" s="3"/>
      <c r="T16" s="3"/>
    </row>
    <row r="17" spans="1:20" ht="15">
      <c r="A17" s="62">
        <v>1</v>
      </c>
      <c r="B17" s="22"/>
      <c r="C17" s="22"/>
      <c r="D17" s="44"/>
      <c r="E17" s="61"/>
      <c r="F17" s="26"/>
      <c r="G17" s="48"/>
      <c r="H17" s="28"/>
      <c r="I17" s="28"/>
      <c r="J17" s="28"/>
      <c r="K17" s="28"/>
      <c r="L17" s="28"/>
      <c r="M17" s="47">
        <f>H17+J17-L17</f>
        <v>0</v>
      </c>
      <c r="N17" s="28"/>
      <c r="O17" s="48"/>
      <c r="P17" s="48"/>
      <c r="Q17" s="48"/>
      <c r="R17" s="49">
        <f>O17+P17-Q17</f>
        <v>0</v>
      </c>
      <c r="S17" s="3"/>
      <c r="T17" s="3"/>
    </row>
    <row r="18" spans="1:20" ht="15">
      <c r="A18" s="35" t="s">
        <v>2</v>
      </c>
      <c r="B18" s="22"/>
      <c r="C18" s="23"/>
      <c r="D18" s="44">
        <f>D16+D17</f>
        <v>0</v>
      </c>
      <c r="E18" s="25"/>
      <c r="F18" s="26"/>
      <c r="G18" s="28"/>
      <c r="H18" s="27">
        <f>H16+H17</f>
        <v>0</v>
      </c>
      <c r="I18" s="27">
        <f t="shared" ref="I18:R18" si="0">I16+I17</f>
        <v>0</v>
      </c>
      <c r="J18" s="27">
        <f t="shared" si="0"/>
        <v>0</v>
      </c>
      <c r="K18" s="27">
        <f t="shared" si="0"/>
        <v>0</v>
      </c>
      <c r="L18" s="27">
        <f t="shared" si="0"/>
        <v>0</v>
      </c>
      <c r="M18" s="27">
        <f t="shared" si="0"/>
        <v>0</v>
      </c>
      <c r="N18" s="27">
        <f t="shared" si="0"/>
        <v>0</v>
      </c>
      <c r="O18" s="56">
        <f t="shared" si="0"/>
        <v>0</v>
      </c>
      <c r="P18" s="56">
        <f t="shared" si="0"/>
        <v>0</v>
      </c>
      <c r="Q18" s="56">
        <f>Q16+Q17</f>
        <v>0</v>
      </c>
      <c r="R18" s="56">
        <f t="shared" si="0"/>
        <v>0</v>
      </c>
      <c r="S18" s="3"/>
      <c r="T18" s="3"/>
    </row>
    <row r="19" spans="1:20" ht="15">
      <c r="A19" s="103" t="s">
        <v>20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5"/>
      <c r="S19" s="3"/>
      <c r="T19" s="3"/>
    </row>
    <row r="20" spans="1:20" ht="15">
      <c r="A20" s="33"/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35" t="s">
        <v>2</v>
      </c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103" t="s">
        <v>21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5"/>
      <c r="S22" s="3"/>
      <c r="T22" s="3"/>
    </row>
    <row r="23" spans="1:20" ht="15">
      <c r="A23" s="33"/>
      <c r="B23" s="22"/>
      <c r="C23" s="23"/>
      <c r="D23" s="24"/>
      <c r="E23" s="25"/>
      <c r="F23" s="26"/>
      <c r="G23" s="28"/>
      <c r="H23" s="27"/>
      <c r="I23" s="28"/>
      <c r="J23" s="28"/>
      <c r="K23" s="28"/>
      <c r="L23" s="29"/>
      <c r="M23" s="28"/>
      <c r="N23" s="28"/>
      <c r="O23" s="28"/>
      <c r="P23" s="28"/>
      <c r="Q23" s="28"/>
      <c r="R23" s="34"/>
      <c r="S23" s="3"/>
      <c r="T23" s="3"/>
    </row>
    <row r="24" spans="1:20" ht="15">
      <c r="A24" s="35" t="s">
        <v>31</v>
      </c>
      <c r="B24" s="22"/>
      <c r="C24" s="23"/>
      <c r="D24" s="44">
        <f>D18</f>
        <v>0</v>
      </c>
      <c r="E24" s="25"/>
      <c r="F24" s="26"/>
      <c r="G24" s="28"/>
      <c r="H24" s="27">
        <f>H18</f>
        <v>0</v>
      </c>
      <c r="I24" s="27">
        <f t="shared" ref="I24:R24" si="1">I18</f>
        <v>0</v>
      </c>
      <c r="J24" s="27">
        <f t="shared" si="1"/>
        <v>0</v>
      </c>
      <c r="K24" s="27">
        <f t="shared" si="1"/>
        <v>0</v>
      </c>
      <c r="L24" s="27">
        <f t="shared" si="1"/>
        <v>0</v>
      </c>
      <c r="M24" s="27">
        <f t="shared" si="1"/>
        <v>0</v>
      </c>
      <c r="N24" s="27">
        <f t="shared" si="1"/>
        <v>0</v>
      </c>
      <c r="O24" s="56">
        <f t="shared" si="1"/>
        <v>0</v>
      </c>
      <c r="P24" s="56">
        <f t="shared" si="1"/>
        <v>0</v>
      </c>
      <c r="Q24" s="56">
        <f t="shared" si="1"/>
        <v>0</v>
      </c>
      <c r="R24" s="56">
        <f t="shared" si="1"/>
        <v>0</v>
      </c>
      <c r="S24" s="3"/>
      <c r="T24" s="3"/>
    </row>
    <row r="25" spans="1:20" ht="15" thickBot="1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4"/>
      <c r="S25" s="19"/>
      <c r="T25" s="19"/>
    </row>
    <row r="26" spans="1:20" ht="18.75">
      <c r="A26" s="14"/>
      <c r="B26" s="15"/>
      <c r="C26" s="15"/>
      <c r="D26" s="16"/>
      <c r="E26" s="18"/>
      <c r="F26" s="18"/>
      <c r="G26" s="20"/>
      <c r="H26" s="20"/>
      <c r="I26" s="21"/>
      <c r="J26" s="21"/>
      <c r="K26" s="21"/>
      <c r="L26" s="21"/>
      <c r="M26" s="20"/>
      <c r="N26" s="20"/>
      <c r="O26" s="20"/>
      <c r="P26" s="20"/>
      <c r="Q26" s="20"/>
      <c r="R26" s="20"/>
      <c r="S26" s="1"/>
      <c r="T26" s="1"/>
    </row>
    <row r="27" spans="1:20">
      <c r="A27" s="36" t="s">
        <v>54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69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73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4">
    <mergeCell ref="A22:R22"/>
    <mergeCell ref="A25:R25"/>
    <mergeCell ref="P8:P9"/>
    <mergeCell ref="Q8:Q9"/>
    <mergeCell ref="R8:R9"/>
    <mergeCell ref="A11:R11"/>
    <mergeCell ref="A14:R14"/>
    <mergeCell ref="A19:R19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0"/>
  <sheetViews>
    <sheetView topLeftCell="A4" zoomScale="77" zoomScaleNormal="77" workbookViewId="0">
      <selection activeCell="F16" sqref="F16"/>
    </sheetView>
  </sheetViews>
  <sheetFormatPr defaultRowHeight="12.75"/>
  <cols>
    <col min="2" max="2" width="14.85546875" customWidth="1"/>
    <col min="3" max="3" width="14.42578125" customWidth="1"/>
    <col min="4" max="4" width="17.85546875" customWidth="1"/>
    <col min="5" max="5" width="16.7109375" customWidth="1"/>
    <col min="6" max="6" width="14.140625" customWidth="1"/>
    <col min="7" max="7" width="9.28515625" bestFit="1" customWidth="1"/>
    <col min="8" max="8" width="12.42578125" customWidth="1"/>
    <col min="11" max="11" width="10.5703125" customWidth="1"/>
    <col min="12" max="12" width="11.7109375" customWidth="1"/>
    <col min="13" max="13" width="12.85546875" customWidth="1"/>
    <col min="14" max="14" width="11.7109375" customWidth="1"/>
    <col min="15" max="15" width="10.85546875" bestFit="1" customWidth="1"/>
    <col min="16" max="16" width="11.28515625" customWidth="1"/>
    <col min="17" max="17" width="10.42578125" customWidth="1"/>
    <col min="18" max="18" width="16" customWidth="1"/>
  </cols>
  <sheetData>
    <row r="1" spans="1:20" ht="18.75">
      <c r="A1" s="94" t="s">
        <v>77</v>
      </c>
      <c r="B1" s="94"/>
      <c r="C1" s="94"/>
      <c r="D1" s="94"/>
      <c r="E1" s="94"/>
      <c r="F1" s="94"/>
      <c r="G1" s="94"/>
      <c r="H1" s="94" t="str">
        <f>район!G3</f>
        <v>на 1 НОЯБРЯ 2019года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7"/>
      <c r="F5" s="97"/>
      <c r="G5" s="97"/>
      <c r="H5" s="97"/>
      <c r="I5" s="97"/>
      <c r="J5" s="97"/>
      <c r="K5" s="97"/>
      <c r="L5" s="97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8" t="s">
        <v>1</v>
      </c>
      <c r="B8" s="99" t="s">
        <v>23</v>
      </c>
      <c r="C8" s="99" t="s">
        <v>11</v>
      </c>
      <c r="D8" s="99" t="s">
        <v>24</v>
      </c>
      <c r="E8" s="99" t="s">
        <v>25</v>
      </c>
      <c r="F8" s="99" t="s">
        <v>7</v>
      </c>
      <c r="G8" s="99" t="s">
        <v>0</v>
      </c>
      <c r="H8" s="99" t="s">
        <v>15</v>
      </c>
      <c r="I8" s="99" t="s">
        <v>8</v>
      </c>
      <c r="J8" s="99" t="s">
        <v>12</v>
      </c>
      <c r="K8" s="99" t="s">
        <v>9</v>
      </c>
      <c r="L8" s="99" t="s">
        <v>13</v>
      </c>
      <c r="M8" s="101" t="s">
        <v>22</v>
      </c>
      <c r="N8" s="102"/>
      <c r="O8" s="99" t="s">
        <v>4</v>
      </c>
      <c r="P8" s="99" t="s">
        <v>19</v>
      </c>
      <c r="Q8" s="99" t="s">
        <v>18</v>
      </c>
      <c r="R8" s="99" t="s">
        <v>17</v>
      </c>
      <c r="S8" s="1"/>
      <c r="T8" s="1"/>
    </row>
    <row r="9" spans="1:20" ht="45">
      <c r="A9" s="98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55" t="s">
        <v>14</v>
      </c>
      <c r="N9" s="55" t="s">
        <v>16</v>
      </c>
      <c r="O9" s="100"/>
      <c r="P9" s="100"/>
      <c r="Q9" s="100"/>
      <c r="R9" s="100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7" t="s">
        <v>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3" t="s">
        <v>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5"/>
      <c r="S14" s="3"/>
      <c r="T14" s="3"/>
    </row>
    <row r="15" spans="1:20" ht="131.25">
      <c r="A15" s="58">
        <v>3</v>
      </c>
      <c r="B15" s="63" t="s">
        <v>38</v>
      </c>
      <c r="C15" s="65" t="s">
        <v>37</v>
      </c>
      <c r="D15" s="66">
        <v>204000</v>
      </c>
      <c r="E15" s="67">
        <v>44196</v>
      </c>
      <c r="F15" s="68" t="s">
        <v>39</v>
      </c>
      <c r="G15" s="41">
        <v>2.75</v>
      </c>
      <c r="H15" s="69">
        <v>204000</v>
      </c>
      <c r="I15" s="41"/>
      <c r="J15" s="41"/>
      <c r="K15" s="69"/>
      <c r="L15" s="69">
        <f>25500+8500+8500+8500+8500+8500</f>
        <v>68000</v>
      </c>
      <c r="M15" s="47">
        <f>H15+J15-L15</f>
        <v>136000</v>
      </c>
      <c r="N15" s="95">
        <f>8500+8500</f>
        <v>17000</v>
      </c>
      <c r="O15" s="70">
        <v>863.11</v>
      </c>
      <c r="P15" s="70">
        <f>447.59+2.39+68.07+404.27+2.08+61.48+431.35+362.66+372.99+63.68+342.29+324.86+0.88+61.63+305.07+2.12+418.19+9.92+1.95+269.52+122.97+5.89</f>
        <v>4081.85</v>
      </c>
      <c r="Q15" s="70">
        <f>476.47+2.66+1235.84+134.02+431.35+362.66+372.99+63.68+324.86+0.88+13.5+313.78</f>
        <v>3732.6899999999996</v>
      </c>
      <c r="R15" s="49">
        <f>O15+P15-Q15</f>
        <v>1212.2700000000004</v>
      </c>
      <c r="S15" s="3"/>
      <c r="T15" s="3"/>
    </row>
    <row r="16" spans="1:20" ht="131.25">
      <c r="A16" s="64">
        <v>4</v>
      </c>
      <c r="B16" s="63" t="s">
        <v>64</v>
      </c>
      <c r="C16" s="65" t="s">
        <v>37</v>
      </c>
      <c r="D16" s="66">
        <v>216000</v>
      </c>
      <c r="E16" s="67">
        <v>44196</v>
      </c>
      <c r="F16" s="68" t="s">
        <v>39</v>
      </c>
      <c r="G16" s="41">
        <v>2.75</v>
      </c>
      <c r="H16" s="69">
        <v>216000</v>
      </c>
      <c r="I16" s="28"/>
      <c r="J16" s="28"/>
      <c r="K16" s="69"/>
      <c r="L16" s="69">
        <f>27000+9000+9000+9000+9000+9000</f>
        <v>72000</v>
      </c>
      <c r="M16" s="47">
        <f>H16+J16-L16</f>
        <v>144000</v>
      </c>
      <c r="N16" s="28">
        <f>9000+9000</f>
        <v>18000</v>
      </c>
      <c r="O16" s="70">
        <v>1492.43</v>
      </c>
      <c r="P16" s="70">
        <f>458.63+2.49+72.08+414.25+2.13+65.1+452.84+0.51+373.01+382.19+13.95+362.42+343.97+1.97+13.5+323.01+1.7+394.96+10.5+1.84+285.37+130.2+4.74</f>
        <v>4111.3599999999988</v>
      </c>
      <c r="Q16" s="70">
        <f>2.82+504.49+1764.16+141.8+536.68+0.51+10+373.01+0.51+382.19+13.95+343.97+1.97+61.63+390.42</f>
        <v>4528.1099999999997</v>
      </c>
      <c r="R16" s="49">
        <f>O16+P16-Q16</f>
        <v>1075.6799999999994</v>
      </c>
      <c r="S16" s="3"/>
      <c r="T16" s="3"/>
    </row>
    <row r="17" spans="1:20" ht="15">
      <c r="A17" s="35" t="s">
        <v>2</v>
      </c>
      <c r="B17" s="22"/>
      <c r="C17" s="23"/>
      <c r="D17" s="44">
        <f>D15+D16</f>
        <v>420000</v>
      </c>
      <c r="E17" s="44">
        <f t="shared" ref="E17:R17" si="0">E15+E16</f>
        <v>88392</v>
      </c>
      <c r="F17" s="44"/>
      <c r="G17" s="44">
        <f t="shared" si="0"/>
        <v>5.5</v>
      </c>
      <c r="H17" s="44">
        <f t="shared" si="0"/>
        <v>420000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140000</v>
      </c>
      <c r="M17" s="44">
        <f t="shared" si="0"/>
        <v>280000</v>
      </c>
      <c r="N17" s="44">
        <f t="shared" si="0"/>
        <v>35000</v>
      </c>
      <c r="O17" s="44">
        <f t="shared" si="0"/>
        <v>2355.54</v>
      </c>
      <c r="P17" s="44">
        <f t="shared" si="0"/>
        <v>8193.2099999999991</v>
      </c>
      <c r="Q17" s="44">
        <f t="shared" si="0"/>
        <v>8260.7999999999993</v>
      </c>
      <c r="R17" s="44">
        <f t="shared" si="0"/>
        <v>2287.9499999999998</v>
      </c>
      <c r="S17" s="3"/>
      <c r="T17" s="3"/>
    </row>
    <row r="18" spans="1:20" ht="15">
      <c r="A18" s="103" t="s">
        <v>20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5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103" t="s">
        <v>21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5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31</v>
      </c>
      <c r="B23" s="22"/>
      <c r="C23" s="23"/>
      <c r="D23" s="87">
        <f>D17</f>
        <v>420000</v>
      </c>
      <c r="E23" s="87"/>
      <c r="F23" s="89"/>
      <c r="G23" s="90"/>
      <c r="H23" s="91">
        <f>H17</f>
        <v>420000</v>
      </c>
      <c r="I23" s="91">
        <f t="shared" ref="I23:R23" si="1">I17</f>
        <v>0</v>
      </c>
      <c r="J23" s="91">
        <f t="shared" si="1"/>
        <v>0</v>
      </c>
      <c r="K23" s="91">
        <f t="shared" si="1"/>
        <v>0</v>
      </c>
      <c r="L23" s="91">
        <f t="shared" si="1"/>
        <v>140000</v>
      </c>
      <c r="M23" s="91">
        <f t="shared" si="1"/>
        <v>280000</v>
      </c>
      <c r="N23" s="91">
        <f t="shared" si="1"/>
        <v>35000</v>
      </c>
      <c r="O23" s="91">
        <f t="shared" si="1"/>
        <v>2355.54</v>
      </c>
      <c r="P23" s="91">
        <f t="shared" si="1"/>
        <v>8193.2099999999991</v>
      </c>
      <c r="Q23" s="91">
        <f t="shared" si="1"/>
        <v>8260.7999999999993</v>
      </c>
      <c r="R23" s="91">
        <f t="shared" si="1"/>
        <v>2287.9499999999998</v>
      </c>
      <c r="S23" s="3"/>
      <c r="T23" s="3"/>
    </row>
    <row r="24" spans="1:20" ht="15" thickBot="1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4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52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70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73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3"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2"/>
  <sheetViews>
    <sheetView view="pageBreakPreview" zoomScale="60" zoomScaleNormal="100" workbookViewId="0">
      <selection activeCell="I22" sqref="I22"/>
    </sheetView>
  </sheetViews>
  <sheetFormatPr defaultRowHeight="12.75"/>
  <cols>
    <col min="1" max="1" width="9" bestFit="1" customWidth="1"/>
    <col min="2" max="2" width="16.5703125" customWidth="1"/>
    <col min="3" max="3" width="10.140625" customWidth="1"/>
    <col min="4" max="4" width="15.28515625" customWidth="1"/>
    <col min="5" max="5" width="12" bestFit="1" customWidth="1"/>
    <col min="6" max="6" width="12" customWidth="1"/>
    <col min="7" max="7" width="9" bestFit="1" customWidth="1"/>
    <col min="8" max="8" width="17.5703125" customWidth="1"/>
    <col min="9" max="9" width="16" customWidth="1"/>
    <col min="10" max="10" width="15.28515625" customWidth="1"/>
    <col min="11" max="11" width="9.140625" bestFit="1" customWidth="1"/>
    <col min="12" max="12" width="19" customWidth="1"/>
    <col min="13" max="13" width="15.42578125" customWidth="1"/>
    <col min="14" max="15" width="9" bestFit="1" customWidth="1"/>
    <col min="16" max="16" width="12" customWidth="1"/>
    <col min="17" max="17" width="13.42578125" customWidth="1"/>
    <col min="18" max="18" width="14.28515625" customWidth="1"/>
  </cols>
  <sheetData>
    <row r="1" spans="1:18" ht="18.75">
      <c r="A1" s="94" t="s">
        <v>78</v>
      </c>
      <c r="B1" s="94"/>
      <c r="C1" s="94"/>
      <c r="D1" s="94"/>
      <c r="E1" s="94"/>
      <c r="F1" s="94"/>
      <c r="G1" s="94"/>
      <c r="H1" s="94"/>
      <c r="I1" s="94" t="str">
        <f>Красноборский!H1</f>
        <v>на 1 НОЯБРЯ 2019года</v>
      </c>
      <c r="J1" s="94"/>
      <c r="K1" s="94"/>
      <c r="L1" s="94"/>
      <c r="M1" s="94"/>
      <c r="N1" s="94"/>
      <c r="O1" s="94"/>
      <c r="P1" s="94"/>
      <c r="Q1" s="94"/>
      <c r="R1" s="94"/>
    </row>
    <row r="2" spans="1:18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</row>
    <row r="4" spans="1:18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>
      <c r="A5" s="1"/>
      <c r="B5" s="4"/>
      <c r="C5" s="4"/>
      <c r="D5" s="8"/>
      <c r="E5" s="97"/>
      <c r="F5" s="97"/>
      <c r="G5" s="97"/>
      <c r="H5" s="97"/>
      <c r="I5" s="97"/>
      <c r="J5" s="97"/>
      <c r="K5" s="97"/>
      <c r="L5" s="97"/>
      <c r="M5" s="81"/>
      <c r="N5" s="81"/>
      <c r="O5" s="1"/>
      <c r="P5" s="1"/>
      <c r="Q5" s="1"/>
      <c r="R5" s="1"/>
    </row>
    <row r="6" spans="1:18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98" t="s">
        <v>1</v>
      </c>
      <c r="B8" s="99" t="s">
        <v>23</v>
      </c>
      <c r="C8" s="99" t="s">
        <v>11</v>
      </c>
      <c r="D8" s="99" t="s">
        <v>24</v>
      </c>
      <c r="E8" s="99" t="s">
        <v>25</v>
      </c>
      <c r="F8" s="99" t="s">
        <v>7</v>
      </c>
      <c r="G8" s="99" t="s">
        <v>0</v>
      </c>
      <c r="H8" s="99" t="s">
        <v>15</v>
      </c>
      <c r="I8" s="99" t="s">
        <v>8</v>
      </c>
      <c r="J8" s="99" t="s">
        <v>12</v>
      </c>
      <c r="K8" s="99" t="s">
        <v>9</v>
      </c>
      <c r="L8" s="99" t="s">
        <v>13</v>
      </c>
      <c r="M8" s="101" t="s">
        <v>22</v>
      </c>
      <c r="N8" s="102"/>
      <c r="O8" s="99" t="s">
        <v>4</v>
      </c>
      <c r="P8" s="99" t="s">
        <v>19</v>
      </c>
      <c r="Q8" s="99" t="s">
        <v>18</v>
      </c>
      <c r="R8" s="99" t="s">
        <v>17</v>
      </c>
    </row>
    <row r="9" spans="1:18" ht="78.75">
      <c r="A9" s="98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80" t="s">
        <v>14</v>
      </c>
      <c r="N9" s="80" t="s">
        <v>16</v>
      </c>
      <c r="O9" s="100"/>
      <c r="P9" s="100"/>
      <c r="Q9" s="100"/>
      <c r="R9" s="100"/>
    </row>
    <row r="10" spans="1:18">
      <c r="A10" s="32">
        <v>1</v>
      </c>
      <c r="B10" s="82">
        <v>2</v>
      </c>
      <c r="C10" s="12">
        <v>3</v>
      </c>
      <c r="D10" s="82">
        <v>4</v>
      </c>
      <c r="E10" s="12">
        <v>5</v>
      </c>
      <c r="F10" s="82">
        <v>6</v>
      </c>
      <c r="G10" s="32">
        <v>7</v>
      </c>
      <c r="H10" s="82">
        <v>8</v>
      </c>
      <c r="I10" s="12">
        <v>9</v>
      </c>
      <c r="J10" s="82">
        <v>10</v>
      </c>
      <c r="K10" s="12">
        <v>11</v>
      </c>
      <c r="L10" s="82">
        <v>12</v>
      </c>
      <c r="M10" s="12">
        <v>13</v>
      </c>
      <c r="N10" s="82">
        <v>14</v>
      </c>
      <c r="O10" s="12">
        <v>15</v>
      </c>
      <c r="P10" s="82">
        <v>16</v>
      </c>
      <c r="Q10" s="12">
        <v>17</v>
      </c>
      <c r="R10" s="82">
        <v>18</v>
      </c>
    </row>
    <row r="11" spans="1:18" ht="14.25">
      <c r="A11" s="107" t="s">
        <v>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</row>
    <row r="12" spans="1:18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</row>
    <row r="13" spans="1:18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</row>
    <row r="14" spans="1:18" ht="14.25">
      <c r="A14" s="103" t="s">
        <v>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5"/>
    </row>
    <row r="15" spans="1:18" ht="19.5">
      <c r="A15" s="79"/>
      <c r="B15" s="63"/>
      <c r="C15" s="65"/>
      <c r="D15" s="66"/>
      <c r="E15" s="67"/>
      <c r="F15" s="68"/>
      <c r="G15" s="83"/>
      <c r="H15" s="69"/>
      <c r="I15" s="83"/>
      <c r="J15" s="83"/>
      <c r="K15" s="69"/>
      <c r="L15" s="69"/>
      <c r="M15" s="47"/>
      <c r="N15" s="83"/>
      <c r="O15" s="70"/>
      <c r="P15" s="70"/>
      <c r="Q15" s="70"/>
      <c r="R15" s="49"/>
    </row>
    <row r="16" spans="1:18" ht="19.5">
      <c r="A16" s="79"/>
      <c r="B16" s="63"/>
      <c r="C16" s="65"/>
      <c r="D16" s="66"/>
      <c r="E16" s="67"/>
      <c r="F16" s="68"/>
      <c r="G16" s="83"/>
      <c r="H16" s="69"/>
      <c r="I16" s="83"/>
      <c r="J16" s="83"/>
      <c r="K16" s="69"/>
      <c r="L16" s="69"/>
      <c r="M16" s="47"/>
      <c r="N16" s="83"/>
      <c r="O16" s="70"/>
      <c r="P16" s="70"/>
      <c r="Q16" s="70"/>
      <c r="R16" s="49"/>
    </row>
    <row r="17" spans="1:18" ht="19.5">
      <c r="A17" s="79"/>
      <c r="B17" s="63"/>
      <c r="C17" s="65"/>
      <c r="D17" s="66"/>
      <c r="E17" s="67"/>
      <c r="F17" s="68"/>
      <c r="G17" s="83"/>
      <c r="H17" s="69"/>
      <c r="I17" s="83"/>
      <c r="J17" s="83"/>
      <c r="K17" s="69"/>
      <c r="L17" s="69"/>
      <c r="M17" s="47"/>
      <c r="N17" s="83"/>
      <c r="O17" s="70"/>
      <c r="P17" s="70"/>
      <c r="Q17" s="70"/>
      <c r="R17" s="49"/>
    </row>
    <row r="18" spans="1:18" ht="19.5">
      <c r="A18" s="64"/>
      <c r="B18" s="63"/>
      <c r="C18" s="65"/>
      <c r="D18" s="66"/>
      <c r="E18" s="67"/>
      <c r="F18" s="68"/>
      <c r="G18" s="83"/>
      <c r="H18" s="69"/>
      <c r="I18" s="28"/>
      <c r="J18" s="28"/>
      <c r="K18" s="69"/>
      <c r="L18" s="69"/>
      <c r="M18" s="47"/>
      <c r="N18" s="28"/>
      <c r="O18" s="70"/>
      <c r="P18" s="70"/>
      <c r="Q18" s="70"/>
      <c r="R18" s="49"/>
    </row>
    <row r="19" spans="1:18" ht="15">
      <c r="A19" s="35" t="s">
        <v>2</v>
      </c>
      <c r="B19" s="22"/>
      <c r="C19" s="23"/>
      <c r="D19" s="44">
        <f>D15+D16+D17+D18</f>
        <v>0</v>
      </c>
      <c r="E19" s="44"/>
      <c r="F19" s="44"/>
      <c r="G19" s="44"/>
      <c r="H19" s="44">
        <f t="shared" ref="H19:R19" si="0">H15+H16+H17+H18</f>
        <v>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</row>
    <row r="20" spans="1:18" ht="14.25">
      <c r="A20" s="103" t="s">
        <v>20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5"/>
    </row>
    <row r="21" spans="1:18" ht="75">
      <c r="A21" s="33" t="s">
        <v>56</v>
      </c>
      <c r="B21" s="22" t="s">
        <v>57</v>
      </c>
      <c r="C21" s="23" t="s">
        <v>44</v>
      </c>
      <c r="D21" s="44">
        <v>2000000</v>
      </c>
      <c r="E21" s="45">
        <v>43677</v>
      </c>
      <c r="F21" s="26" t="s">
        <v>58</v>
      </c>
      <c r="G21" s="48">
        <v>8.77</v>
      </c>
      <c r="H21" s="27">
        <v>2000000</v>
      </c>
      <c r="I21" s="72">
        <v>43315</v>
      </c>
      <c r="J21" s="28"/>
      <c r="K21" s="28"/>
      <c r="L21" s="29">
        <v>2000000</v>
      </c>
      <c r="M21" s="28">
        <f>H21-L21</f>
        <v>0</v>
      </c>
      <c r="N21" s="28"/>
      <c r="O21" s="28"/>
      <c r="P21" s="48">
        <f>102316.67-1381.65</f>
        <v>100935.02</v>
      </c>
      <c r="Q21" s="48">
        <f>102316.67-1381.65</f>
        <v>100935.02</v>
      </c>
      <c r="R21" s="34">
        <f>O21+P21-Q21</f>
        <v>0</v>
      </c>
    </row>
    <row r="22" spans="1:18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</row>
    <row r="23" spans="1:18" ht="14.25">
      <c r="A23" s="103" t="s">
        <v>21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5"/>
    </row>
    <row r="24" spans="1:18" ht="15">
      <c r="A24" s="33"/>
      <c r="B24" s="22"/>
      <c r="C24" s="23"/>
      <c r="D24" s="24"/>
      <c r="E24" s="25"/>
      <c r="F24" s="26"/>
      <c r="G24" s="28"/>
      <c r="H24" s="27"/>
      <c r="I24" s="28"/>
      <c r="J24" s="28"/>
      <c r="K24" s="28">
        <f>K21</f>
        <v>0</v>
      </c>
      <c r="L24" s="28">
        <f>L21</f>
        <v>2000000</v>
      </c>
      <c r="M24" s="28"/>
      <c r="N24" s="28"/>
      <c r="O24" s="28"/>
      <c r="P24" s="28">
        <v>0</v>
      </c>
      <c r="Q24" s="28">
        <v>0</v>
      </c>
      <c r="R24" s="34">
        <f>O24+P24-Q24</f>
        <v>0</v>
      </c>
    </row>
    <row r="25" spans="1:18" ht="15">
      <c r="A25" s="35" t="s">
        <v>31</v>
      </c>
      <c r="B25" s="22"/>
      <c r="C25" s="23"/>
      <c r="D25" s="87">
        <f>D19</f>
        <v>0</v>
      </c>
      <c r="E25" s="87"/>
      <c r="F25" s="89"/>
      <c r="G25" s="90"/>
      <c r="H25" s="91">
        <f>H21</f>
        <v>2000000</v>
      </c>
      <c r="I25" s="91">
        <f t="shared" ref="I25:Q25" si="1">I21</f>
        <v>43315</v>
      </c>
      <c r="J25" s="91">
        <f t="shared" si="1"/>
        <v>0</v>
      </c>
      <c r="K25" s="91">
        <f t="shared" si="1"/>
        <v>0</v>
      </c>
      <c r="L25" s="91">
        <f t="shared" si="1"/>
        <v>2000000</v>
      </c>
      <c r="M25" s="91">
        <f t="shared" si="1"/>
        <v>0</v>
      </c>
      <c r="N25" s="91">
        <f t="shared" si="1"/>
        <v>0</v>
      </c>
      <c r="O25" s="91">
        <f t="shared" si="1"/>
        <v>0</v>
      </c>
      <c r="P25" s="91">
        <f t="shared" si="1"/>
        <v>100935.02</v>
      </c>
      <c r="Q25" s="91">
        <f t="shared" si="1"/>
        <v>100935.02</v>
      </c>
      <c r="R25" s="91">
        <f t="shared" ref="R25" si="2">R19</f>
        <v>0</v>
      </c>
    </row>
    <row r="26" spans="1:18" ht="15" thickBot="1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4"/>
    </row>
    <row r="27" spans="1:18" ht="18.75">
      <c r="A27" s="14"/>
      <c r="B27" s="15"/>
      <c r="C27" s="15"/>
      <c r="D27" s="16"/>
      <c r="E27" s="18"/>
      <c r="F27" s="18"/>
      <c r="G27" s="20"/>
      <c r="H27" s="20"/>
      <c r="I27" s="21"/>
      <c r="J27" s="21"/>
      <c r="K27" s="21"/>
      <c r="L27" s="21"/>
      <c r="M27" s="20"/>
      <c r="N27" s="20"/>
      <c r="O27" s="20"/>
      <c r="P27" s="20"/>
      <c r="Q27" s="20"/>
      <c r="R27" s="20"/>
    </row>
    <row r="28" spans="1:18">
      <c r="A28" s="36" t="s">
        <v>52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36" t="s">
        <v>70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4"/>
      <c r="C31" s="4"/>
      <c r="D31" s="8"/>
      <c r="E31" s="10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36" t="s">
        <v>73</v>
      </c>
      <c r="B32" s="37"/>
      <c r="C32" s="37"/>
      <c r="D32" s="38"/>
      <c r="E32" s="39"/>
      <c r="F32" s="39"/>
      <c r="G32" s="1"/>
      <c r="H32" s="36"/>
      <c r="I32" s="36"/>
      <c r="J32" s="1"/>
      <c r="K32" s="1"/>
      <c r="L32" s="1"/>
      <c r="M32" s="1"/>
      <c r="N32" s="1"/>
      <c r="O32" s="1"/>
      <c r="P32" s="1"/>
      <c r="Q32" s="1"/>
      <c r="R32" s="1"/>
    </row>
  </sheetData>
  <mergeCells count="23">
    <mergeCell ref="A23:R23"/>
    <mergeCell ref="A26:R26"/>
    <mergeCell ref="P8:P9"/>
    <mergeCell ref="Q8:Q9"/>
    <mergeCell ref="R8:R9"/>
    <mergeCell ref="A11:R11"/>
    <mergeCell ref="A14:R14"/>
    <mergeCell ref="A20:R20"/>
    <mergeCell ref="I8:I9"/>
    <mergeCell ref="J8:J9"/>
    <mergeCell ref="K8:K9"/>
    <mergeCell ref="L8:L9"/>
    <mergeCell ref="M8:N8"/>
    <mergeCell ref="O8:O9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26" right="0.23" top="0.54" bottom="0.34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0"/>
  <sheetViews>
    <sheetView topLeftCell="A4" zoomScaleNormal="100" workbookViewId="0">
      <selection activeCell="L16" sqref="L16"/>
    </sheetView>
  </sheetViews>
  <sheetFormatPr defaultRowHeight="12.75"/>
  <cols>
    <col min="2" max="2" width="13" customWidth="1"/>
    <col min="3" max="3" width="11.140625" customWidth="1"/>
    <col min="4" max="4" width="14.7109375" customWidth="1"/>
    <col min="5" max="5" width="14.85546875" customWidth="1"/>
    <col min="6" max="6" width="12.42578125" customWidth="1"/>
    <col min="7" max="7" width="9.28515625" bestFit="1" customWidth="1"/>
    <col min="8" max="8" width="13.7109375" customWidth="1"/>
    <col min="9" max="11" width="9.28515625" bestFit="1" customWidth="1"/>
    <col min="12" max="12" width="14.140625" customWidth="1"/>
    <col min="13" max="13" width="11.5703125" bestFit="1" customWidth="1"/>
    <col min="14" max="14" width="13.28515625" customWidth="1"/>
    <col min="15" max="15" width="11.85546875" customWidth="1"/>
    <col min="16" max="16" width="12.140625" customWidth="1"/>
    <col min="17" max="17" width="12.5703125" customWidth="1"/>
    <col min="18" max="18" width="17.42578125" customWidth="1"/>
  </cols>
  <sheetData>
    <row r="1" spans="1:20" ht="18.75">
      <c r="A1" s="94" t="s">
        <v>79</v>
      </c>
      <c r="B1" s="94"/>
      <c r="C1" s="94"/>
      <c r="D1" s="94"/>
      <c r="E1" s="94"/>
      <c r="F1" s="94"/>
      <c r="G1" s="94"/>
      <c r="H1" s="94"/>
      <c r="I1" s="94" t="str">
        <f>район!G3</f>
        <v>на 1 НОЯБРЯ 2019года</v>
      </c>
      <c r="J1" s="94"/>
      <c r="K1" s="94"/>
      <c r="L1" s="94"/>
      <c r="M1" s="94"/>
      <c r="N1" s="94"/>
      <c r="O1" s="94"/>
      <c r="P1" s="94"/>
      <c r="Q1" s="94"/>
      <c r="R1" s="94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7"/>
      <c r="F5" s="97"/>
      <c r="G5" s="97"/>
      <c r="H5" s="97"/>
      <c r="I5" s="97"/>
      <c r="J5" s="97"/>
      <c r="K5" s="97"/>
      <c r="L5" s="97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8" t="s">
        <v>1</v>
      </c>
      <c r="B8" s="99" t="s">
        <v>23</v>
      </c>
      <c r="C8" s="99" t="s">
        <v>11</v>
      </c>
      <c r="D8" s="99" t="s">
        <v>24</v>
      </c>
      <c r="E8" s="99" t="s">
        <v>25</v>
      </c>
      <c r="F8" s="99" t="s">
        <v>7</v>
      </c>
      <c r="G8" s="99" t="s">
        <v>0</v>
      </c>
      <c r="H8" s="99" t="s">
        <v>15</v>
      </c>
      <c r="I8" s="99" t="s">
        <v>8</v>
      </c>
      <c r="J8" s="99" t="s">
        <v>12</v>
      </c>
      <c r="K8" s="99" t="s">
        <v>9</v>
      </c>
      <c r="L8" s="99" t="s">
        <v>13</v>
      </c>
      <c r="M8" s="101" t="s">
        <v>22</v>
      </c>
      <c r="N8" s="102"/>
      <c r="O8" s="99" t="s">
        <v>4</v>
      </c>
      <c r="P8" s="99" t="s">
        <v>19</v>
      </c>
      <c r="Q8" s="99" t="s">
        <v>18</v>
      </c>
      <c r="R8" s="99" t="s">
        <v>17</v>
      </c>
      <c r="S8" s="1"/>
      <c r="T8" s="1"/>
    </row>
    <row r="9" spans="1:20" ht="45">
      <c r="A9" s="98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55" t="s">
        <v>14</v>
      </c>
      <c r="N9" s="55" t="s">
        <v>16</v>
      </c>
      <c r="O9" s="100"/>
      <c r="P9" s="100"/>
      <c r="Q9" s="100"/>
      <c r="R9" s="100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7" t="s">
        <v>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3" t="s">
        <v>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5"/>
      <c r="S14" s="3"/>
      <c r="T14" s="3"/>
    </row>
    <row r="15" spans="1:20" ht="19.5">
      <c r="A15" s="41"/>
      <c r="B15" s="63"/>
      <c r="C15" s="63"/>
      <c r="D15" s="66"/>
      <c r="E15" s="67"/>
      <c r="F15" s="59"/>
      <c r="G15" s="41"/>
      <c r="H15" s="69"/>
      <c r="I15" s="41"/>
      <c r="J15" s="41"/>
      <c r="K15" s="41"/>
      <c r="L15" s="69"/>
      <c r="M15" s="47"/>
      <c r="N15" s="41"/>
      <c r="O15" s="70"/>
      <c r="P15" s="70"/>
      <c r="Q15" s="70"/>
      <c r="R15" s="49"/>
      <c r="S15" s="3"/>
      <c r="T15" s="3"/>
    </row>
    <row r="16" spans="1:20" ht="150">
      <c r="A16" s="62">
        <v>2</v>
      </c>
      <c r="B16" s="63" t="s">
        <v>40</v>
      </c>
      <c r="C16" s="63" t="s">
        <v>37</v>
      </c>
      <c r="D16" s="66">
        <v>836000</v>
      </c>
      <c r="E16" s="67">
        <v>43758</v>
      </c>
      <c r="F16" s="59" t="s">
        <v>41</v>
      </c>
      <c r="G16" s="41">
        <v>2.75</v>
      </c>
      <c r="H16" s="69">
        <v>836000</v>
      </c>
      <c r="I16" s="28"/>
      <c r="J16" s="28"/>
      <c r="K16" s="28"/>
      <c r="L16" s="69"/>
      <c r="M16" s="47">
        <f>H16+J16-L16</f>
        <v>836000</v>
      </c>
      <c r="N16" s="28">
        <v>836000</v>
      </c>
      <c r="O16" s="70">
        <v>8699.89</v>
      </c>
      <c r="P16" s="70">
        <f>1834.24+108.5+9.77+1656.73+65.1+8.53+1834.24+108.5+8.99+1775.07+108.5+9.48+1834.24+130.2+1775.07+1834.24+105+9.63+1834.24+105+9.95+1618.56+4748.8+84.28+1656.73+5852+171.58</f>
        <v>29297.17</v>
      </c>
      <c r="Q16" s="70">
        <f>108.5+8.99+1775.07+1834.24+130.2+1834.24+114.63</f>
        <v>5805.87</v>
      </c>
      <c r="R16" s="49">
        <f>O16+P16-Q16</f>
        <v>32191.19</v>
      </c>
      <c r="S16" s="3"/>
      <c r="T16" s="3"/>
    </row>
    <row r="17" spans="1:20" ht="15">
      <c r="A17" s="43" t="s">
        <v>2</v>
      </c>
      <c r="B17" s="22"/>
      <c r="C17" s="22"/>
      <c r="D17" s="44">
        <f>D15+D16</f>
        <v>836000</v>
      </c>
      <c r="E17" s="44"/>
      <c r="F17" s="44"/>
      <c r="G17" s="44"/>
      <c r="H17" s="44">
        <f t="shared" ref="H17:R17" si="0">H15+H16</f>
        <v>836000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0</v>
      </c>
      <c r="M17" s="44">
        <f t="shared" si="0"/>
        <v>836000</v>
      </c>
      <c r="N17" s="44">
        <f>N15+N16</f>
        <v>836000</v>
      </c>
      <c r="O17" s="44">
        <f t="shared" si="0"/>
        <v>8699.89</v>
      </c>
      <c r="P17" s="44">
        <f>P15+P16</f>
        <v>29297.17</v>
      </c>
      <c r="Q17" s="44">
        <f t="shared" si="0"/>
        <v>5805.87</v>
      </c>
      <c r="R17" s="44">
        <f t="shared" si="0"/>
        <v>32191.19</v>
      </c>
      <c r="S17" s="3"/>
      <c r="T17" s="3"/>
    </row>
    <row r="18" spans="1:20" ht="15">
      <c r="A18" s="103" t="s">
        <v>20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5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103" t="s">
        <v>21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5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31</v>
      </c>
      <c r="B23" s="22"/>
      <c r="C23" s="23"/>
      <c r="D23" s="87">
        <f>D17</f>
        <v>836000</v>
      </c>
      <c r="E23" s="87"/>
      <c r="F23" s="87"/>
      <c r="G23" s="87"/>
      <c r="H23" s="87">
        <f t="shared" ref="H23:R23" si="1">H17</f>
        <v>836000</v>
      </c>
      <c r="I23" s="87">
        <f t="shared" si="1"/>
        <v>0</v>
      </c>
      <c r="J23" s="87">
        <f t="shared" si="1"/>
        <v>0</v>
      </c>
      <c r="K23" s="87">
        <f t="shared" si="1"/>
        <v>0</v>
      </c>
      <c r="L23" s="87">
        <f t="shared" si="1"/>
        <v>0</v>
      </c>
      <c r="M23" s="87">
        <f t="shared" si="1"/>
        <v>836000</v>
      </c>
      <c r="N23" s="87">
        <f>N17</f>
        <v>836000</v>
      </c>
      <c r="O23" s="87">
        <f t="shared" si="1"/>
        <v>8699.89</v>
      </c>
      <c r="P23" s="87">
        <f>P17</f>
        <v>29297.17</v>
      </c>
      <c r="Q23" s="87">
        <f t="shared" si="1"/>
        <v>5805.87</v>
      </c>
      <c r="R23" s="87">
        <f t="shared" si="1"/>
        <v>32191.19</v>
      </c>
      <c r="S23" s="3"/>
      <c r="T23" s="3"/>
    </row>
    <row r="24" spans="1:20" ht="15" thickBot="1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4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53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71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73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3"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9"/>
  <sheetViews>
    <sheetView zoomScaleNormal="100" workbookViewId="0">
      <selection activeCell="A17" sqref="A17:R17"/>
    </sheetView>
  </sheetViews>
  <sheetFormatPr defaultRowHeight="12.75"/>
  <cols>
    <col min="1" max="1" width="9.28515625" bestFit="1" customWidth="1"/>
    <col min="2" max="2" width="13.140625" customWidth="1"/>
    <col min="3" max="3" width="9.28515625" bestFit="1" customWidth="1"/>
    <col min="4" max="4" width="14.140625" bestFit="1" customWidth="1"/>
    <col min="5" max="7" width="9.42578125" bestFit="1" customWidth="1"/>
    <col min="8" max="8" width="12.140625" customWidth="1"/>
    <col min="9" max="9" width="9.42578125" bestFit="1" customWidth="1"/>
    <col min="10" max="10" width="12" customWidth="1"/>
    <col min="11" max="11" width="9.42578125" bestFit="1" customWidth="1"/>
    <col min="12" max="12" width="11.7109375" bestFit="1" customWidth="1"/>
    <col min="13" max="13" width="12.85546875" customWidth="1"/>
    <col min="14" max="14" width="11.7109375" bestFit="1" customWidth="1"/>
    <col min="15" max="15" width="10.5703125" bestFit="1" customWidth="1"/>
    <col min="16" max="16" width="11.7109375" bestFit="1" customWidth="1"/>
    <col min="17" max="17" width="21.28515625" customWidth="1"/>
    <col min="18" max="18" width="10.5703125" bestFit="1" customWidth="1"/>
  </cols>
  <sheetData>
    <row r="1" spans="1:20" ht="18.75">
      <c r="A1" s="111" t="s">
        <v>62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 t="s">
        <v>63</v>
      </c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7"/>
      <c r="F5" s="97"/>
      <c r="G5" s="97"/>
      <c r="H5" s="97"/>
      <c r="I5" s="97"/>
      <c r="J5" s="97"/>
      <c r="K5" s="97"/>
      <c r="L5" s="97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8" t="s">
        <v>1</v>
      </c>
      <c r="B8" s="99" t="s">
        <v>23</v>
      </c>
      <c r="C8" s="99" t="s">
        <v>11</v>
      </c>
      <c r="D8" s="99" t="s">
        <v>24</v>
      </c>
      <c r="E8" s="99" t="s">
        <v>25</v>
      </c>
      <c r="F8" s="99" t="s">
        <v>7</v>
      </c>
      <c r="G8" s="99" t="s">
        <v>0</v>
      </c>
      <c r="H8" s="99" t="s">
        <v>15</v>
      </c>
      <c r="I8" s="99" t="s">
        <v>8</v>
      </c>
      <c r="J8" s="99" t="s">
        <v>12</v>
      </c>
      <c r="K8" s="99" t="s">
        <v>9</v>
      </c>
      <c r="L8" s="99" t="s">
        <v>13</v>
      </c>
      <c r="M8" s="101" t="s">
        <v>22</v>
      </c>
      <c r="N8" s="102"/>
      <c r="O8" s="99" t="s">
        <v>4</v>
      </c>
      <c r="P8" s="99" t="s">
        <v>19</v>
      </c>
      <c r="Q8" s="99" t="s">
        <v>18</v>
      </c>
      <c r="R8" s="99" t="s">
        <v>17</v>
      </c>
      <c r="S8" s="1"/>
      <c r="T8" s="1"/>
    </row>
    <row r="9" spans="1:20" ht="45">
      <c r="A9" s="98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55" t="s">
        <v>14</v>
      </c>
      <c r="N9" s="55" t="s">
        <v>16</v>
      </c>
      <c r="O9" s="100"/>
      <c r="P9" s="100"/>
      <c r="Q9" s="100"/>
      <c r="R9" s="100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7" t="s">
        <v>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3" t="s">
        <v>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5"/>
      <c r="S14" s="3"/>
      <c r="T14" s="3"/>
    </row>
    <row r="15" spans="1:20" ht="15">
      <c r="A15" s="33">
        <v>1</v>
      </c>
      <c r="B15" s="22"/>
      <c r="C15" s="23"/>
      <c r="D15" s="44">
        <f>Шала!D19+Кривцы!D18+Авдеево!D23+Красноборский!D23</f>
        <v>6726000</v>
      </c>
      <c r="E15" s="44"/>
      <c r="F15" s="44"/>
      <c r="G15" s="44">
        <f>Шала!G19+Кривцы!G18+Авдеево!G23+Красноборский!G23</f>
        <v>0</v>
      </c>
      <c r="H15" s="44">
        <f>Шала!H19+Кривцы!H18+Авдеево!H23+Красноборский!H23</f>
        <v>6267500</v>
      </c>
      <c r="I15" s="44">
        <f>Шала!I19+Кривцы!I18+Авдеево!I23+Красноборский!I23</f>
        <v>0</v>
      </c>
      <c r="J15" s="44">
        <f>Шала!J19+Кривцы!J18+Авдеево!J23+Красноборский!J23</f>
        <v>0</v>
      </c>
      <c r="K15" s="44">
        <f>Шала!K19+Кривцы!K18+Авдеево!K23+Красноборский!K23</f>
        <v>0</v>
      </c>
      <c r="L15" s="44">
        <f>Шала!L19+Кривцы!L18+Авдеево!L23+Красноборский!L23</f>
        <v>140000</v>
      </c>
      <c r="M15" s="44">
        <f>Шала!M19+Кривцы!M18+Авдеево!M23+Красноборский!M23</f>
        <v>6127500</v>
      </c>
      <c r="N15" s="44">
        <f>Шала!N19+Кривцы!N18+Авдеево!N23+Красноборский!N23</f>
        <v>5882500</v>
      </c>
      <c r="O15" s="44">
        <f>Шала!O19+Кривцы!O18+Авдеево!O23+Красноборский!O23</f>
        <v>106228.51000000001</v>
      </c>
      <c r="P15" s="44">
        <f>Шала!P19+Кривцы!P18+Авдеево!P23+Красноборский!P23</f>
        <v>220146.72273953995</v>
      </c>
      <c r="Q15" s="44">
        <f>Шала!Q19+Кривцы!Q18+Авдеево!Q23+Красноборский!Q23</f>
        <v>57853.119999999995</v>
      </c>
      <c r="R15" s="44">
        <f>Шала!R19+Кривцы!R18+Авдеево!R23+Красноборский!R23</f>
        <v>268522.11273954</v>
      </c>
      <c r="S15" s="3"/>
      <c r="T15" s="3"/>
    </row>
    <row r="16" spans="1:20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  <c r="S16" s="3"/>
      <c r="T16" s="3"/>
    </row>
    <row r="17" spans="1:20" ht="15">
      <c r="A17" s="103" t="s">
        <v>20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5"/>
      <c r="S17" s="3"/>
      <c r="T17" s="3"/>
    </row>
    <row r="18" spans="1:20" ht="120">
      <c r="A18" s="33"/>
      <c r="B18" s="22" t="s">
        <v>57</v>
      </c>
      <c r="C18" s="23" t="s">
        <v>44</v>
      </c>
      <c r="D18" s="44">
        <v>2000000</v>
      </c>
      <c r="E18" s="25"/>
      <c r="F18" s="26"/>
      <c r="G18" s="28"/>
      <c r="H18" s="27"/>
      <c r="I18" s="28"/>
      <c r="J18" s="28">
        <v>2000000</v>
      </c>
      <c r="K18" s="28"/>
      <c r="L18" s="29"/>
      <c r="M18" s="28">
        <f>J18-L18</f>
        <v>2000000</v>
      </c>
      <c r="N18" s="28"/>
      <c r="O18" s="28"/>
      <c r="P18" s="48">
        <f>Город!P21</f>
        <v>100935.02</v>
      </c>
      <c r="Q18" s="48">
        <f>Город!Q21</f>
        <v>100935.02</v>
      </c>
      <c r="R18" s="34">
        <f>O18+P18-Q18</f>
        <v>0</v>
      </c>
      <c r="S18" s="3"/>
      <c r="T18" s="3"/>
    </row>
    <row r="19" spans="1:20" ht="15">
      <c r="A19" s="35" t="s">
        <v>2</v>
      </c>
      <c r="B19" s="22"/>
      <c r="C19" s="23"/>
      <c r="D19" s="44">
        <f>D18</f>
        <v>2000000</v>
      </c>
      <c r="E19" s="44">
        <f t="shared" ref="E19:R19" si="0">E18</f>
        <v>0</v>
      </c>
      <c r="F19" s="44">
        <f t="shared" si="0"/>
        <v>0</v>
      </c>
      <c r="G19" s="44">
        <f t="shared" si="0"/>
        <v>0</v>
      </c>
      <c r="H19" s="44">
        <f t="shared" si="0"/>
        <v>0</v>
      </c>
      <c r="I19" s="44">
        <f t="shared" si="0"/>
        <v>0</v>
      </c>
      <c r="J19" s="44">
        <f t="shared" si="0"/>
        <v>2000000</v>
      </c>
      <c r="K19" s="44">
        <f t="shared" si="0"/>
        <v>0</v>
      </c>
      <c r="L19" s="44">
        <f t="shared" si="0"/>
        <v>0</v>
      </c>
      <c r="M19" s="44">
        <f t="shared" si="0"/>
        <v>2000000</v>
      </c>
      <c r="N19" s="44">
        <f t="shared" si="0"/>
        <v>0</v>
      </c>
      <c r="O19" s="44">
        <f t="shared" si="0"/>
        <v>0</v>
      </c>
      <c r="P19" s="44">
        <f t="shared" si="0"/>
        <v>100935.02</v>
      </c>
      <c r="Q19" s="44">
        <f t="shared" si="0"/>
        <v>100935.02</v>
      </c>
      <c r="R19" s="44">
        <f t="shared" si="0"/>
        <v>0</v>
      </c>
      <c r="S19" s="3"/>
      <c r="T19" s="3"/>
    </row>
    <row r="20" spans="1:20" ht="15">
      <c r="A20" s="103" t="s">
        <v>21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5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59</v>
      </c>
      <c r="B22" s="22"/>
      <c r="C22" s="23"/>
      <c r="D22" s="87">
        <f>D15+D19</f>
        <v>8726000</v>
      </c>
      <c r="E22" s="87">
        <f t="shared" ref="E22:R22" si="1">E15+E19</f>
        <v>0</v>
      </c>
      <c r="F22" s="87">
        <f t="shared" si="1"/>
        <v>0</v>
      </c>
      <c r="G22" s="87">
        <f t="shared" si="1"/>
        <v>0</v>
      </c>
      <c r="H22" s="87">
        <f t="shared" si="1"/>
        <v>6267500</v>
      </c>
      <c r="I22" s="87">
        <f t="shared" si="1"/>
        <v>0</v>
      </c>
      <c r="J22" s="87">
        <f t="shared" si="1"/>
        <v>2000000</v>
      </c>
      <c r="K22" s="87">
        <f t="shared" si="1"/>
        <v>0</v>
      </c>
      <c r="L22" s="87">
        <f t="shared" si="1"/>
        <v>140000</v>
      </c>
      <c r="M22" s="87">
        <f t="shared" si="1"/>
        <v>8127500</v>
      </c>
      <c r="N22" s="87">
        <f t="shared" si="1"/>
        <v>5882500</v>
      </c>
      <c r="O22" s="87">
        <f t="shared" si="1"/>
        <v>106228.51000000001</v>
      </c>
      <c r="P22" s="87">
        <f t="shared" si="1"/>
        <v>321081.74273953994</v>
      </c>
      <c r="Q22" s="87">
        <f t="shared" si="1"/>
        <v>158788.14000000001</v>
      </c>
      <c r="R22" s="87">
        <f t="shared" si="1"/>
        <v>268522.11273954</v>
      </c>
      <c r="S22" s="3"/>
      <c r="T22" s="3"/>
    </row>
    <row r="23" spans="1:20" ht="15" thickBot="1">
      <c r="A23" s="112" t="s">
        <v>32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4"/>
      <c r="S23" s="19"/>
      <c r="T23" s="19"/>
    </row>
    <row r="24" spans="1:20" ht="18.75">
      <c r="A24" s="14"/>
      <c r="B24" s="15"/>
      <c r="C24" s="15"/>
      <c r="D24" s="16"/>
      <c r="E24" s="18"/>
      <c r="F24" s="18"/>
      <c r="G24" s="20"/>
      <c r="H24" s="20"/>
      <c r="I24" s="21"/>
      <c r="J24" s="21"/>
      <c r="K24" s="21"/>
      <c r="L24" s="21"/>
      <c r="M24" s="20"/>
      <c r="N24" s="20"/>
      <c r="O24" s="20"/>
      <c r="P24" s="20"/>
      <c r="Q24" s="20"/>
      <c r="R24" s="20"/>
      <c r="S24" s="1"/>
      <c r="T24" s="1"/>
    </row>
    <row r="25" spans="1:20">
      <c r="A25" s="36" t="s">
        <v>60</v>
      </c>
      <c r="B25" s="37"/>
      <c r="C25" s="37"/>
      <c r="D25" s="38"/>
      <c r="E25" s="39"/>
      <c r="F25" s="39"/>
      <c r="G25" s="1"/>
      <c r="H25" s="36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4"/>
      <c r="C26" s="4"/>
      <c r="D26" s="8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36" t="s">
        <v>65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61</v>
      </c>
      <c r="B29" s="37"/>
      <c r="C29" s="37"/>
      <c r="D29" s="36" t="s">
        <v>73</v>
      </c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24">
    <mergeCell ref="A20:R20"/>
    <mergeCell ref="A23:R23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2"/>
  <sheetViews>
    <sheetView tabSelected="1" workbookViewId="0">
      <selection activeCell="K16" sqref="K16"/>
    </sheetView>
  </sheetViews>
  <sheetFormatPr defaultRowHeight="12.75"/>
  <cols>
    <col min="4" max="4" width="12.42578125" customWidth="1"/>
    <col min="8" max="8" width="11.85546875" customWidth="1"/>
    <col min="9" max="9" width="13.28515625" customWidth="1"/>
    <col min="10" max="10" width="13.7109375" customWidth="1"/>
    <col min="12" max="12" width="12.7109375" customWidth="1"/>
    <col min="13" max="13" width="14.42578125" customWidth="1"/>
    <col min="14" max="14" width="10.140625" customWidth="1"/>
    <col min="16" max="16" width="12.5703125" customWidth="1"/>
    <col min="17" max="17" width="11.42578125" customWidth="1"/>
  </cols>
  <sheetData>
    <row r="1" spans="1:18" ht="18.75">
      <c r="A1" s="111" t="s">
        <v>62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>
      <c r="A3" s="1"/>
      <c r="B3" s="4"/>
      <c r="C3" s="4"/>
      <c r="D3" s="4"/>
      <c r="E3" s="6"/>
      <c r="F3" s="7" t="s">
        <v>72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</row>
    <row r="4" spans="1:18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>
      <c r="A5" s="1"/>
      <c r="B5" s="4"/>
      <c r="C5" s="4"/>
      <c r="D5" s="8"/>
      <c r="E5" s="97"/>
      <c r="F5" s="97"/>
      <c r="G5" s="97"/>
      <c r="H5" s="97"/>
      <c r="I5" s="97"/>
      <c r="J5" s="97"/>
      <c r="K5" s="97"/>
      <c r="L5" s="97"/>
      <c r="M5" s="84"/>
      <c r="N5" s="84"/>
      <c r="O5" s="1"/>
      <c r="P5" s="1"/>
      <c r="Q5" s="1"/>
      <c r="R5" s="1"/>
    </row>
    <row r="6" spans="1:18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98" t="s">
        <v>1</v>
      </c>
      <c r="B8" s="99" t="s">
        <v>23</v>
      </c>
      <c r="C8" s="99" t="s">
        <v>11</v>
      </c>
      <c r="D8" s="99" t="s">
        <v>24</v>
      </c>
      <c r="E8" s="99" t="s">
        <v>25</v>
      </c>
      <c r="F8" s="99" t="s">
        <v>7</v>
      </c>
      <c r="G8" s="99" t="s">
        <v>0</v>
      </c>
      <c r="H8" s="99" t="s">
        <v>15</v>
      </c>
      <c r="I8" s="99" t="s">
        <v>8</v>
      </c>
      <c r="J8" s="99" t="s">
        <v>12</v>
      </c>
      <c r="K8" s="99" t="s">
        <v>9</v>
      </c>
      <c r="L8" s="99" t="s">
        <v>13</v>
      </c>
      <c r="M8" s="101" t="s">
        <v>22</v>
      </c>
      <c r="N8" s="102"/>
      <c r="O8" s="99" t="s">
        <v>4</v>
      </c>
      <c r="P8" s="99" t="s">
        <v>19</v>
      </c>
      <c r="Q8" s="99" t="s">
        <v>18</v>
      </c>
      <c r="R8" s="99" t="s">
        <v>17</v>
      </c>
    </row>
    <row r="9" spans="1:18" ht="67.5">
      <c r="A9" s="98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86" t="s">
        <v>14</v>
      </c>
      <c r="N9" s="86" t="s">
        <v>16</v>
      </c>
      <c r="O9" s="100"/>
      <c r="P9" s="100"/>
      <c r="Q9" s="100"/>
      <c r="R9" s="100"/>
    </row>
    <row r="10" spans="1:18">
      <c r="A10" s="32">
        <v>1</v>
      </c>
      <c r="B10" s="85">
        <v>2</v>
      </c>
      <c r="C10" s="12">
        <v>3</v>
      </c>
      <c r="D10" s="85">
        <v>4</v>
      </c>
      <c r="E10" s="12">
        <v>5</v>
      </c>
      <c r="F10" s="85">
        <v>6</v>
      </c>
      <c r="G10" s="32">
        <v>7</v>
      </c>
      <c r="H10" s="85">
        <v>8</v>
      </c>
      <c r="I10" s="12">
        <v>9</v>
      </c>
      <c r="J10" s="85">
        <v>10</v>
      </c>
      <c r="K10" s="12">
        <v>11</v>
      </c>
      <c r="L10" s="85">
        <v>12</v>
      </c>
      <c r="M10" s="12">
        <v>13</v>
      </c>
      <c r="N10" s="85">
        <v>14</v>
      </c>
      <c r="O10" s="12">
        <v>15</v>
      </c>
      <c r="P10" s="85">
        <v>16</v>
      </c>
      <c r="Q10" s="12">
        <v>17</v>
      </c>
      <c r="R10" s="85">
        <v>18</v>
      </c>
    </row>
    <row r="11" spans="1:18" ht="14.25">
      <c r="A11" s="107" t="s">
        <v>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</row>
    <row r="12" spans="1:18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</row>
    <row r="13" spans="1:18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</row>
    <row r="14" spans="1:18" ht="14.25">
      <c r="A14" s="103" t="s">
        <v>5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5"/>
    </row>
    <row r="15" spans="1:18" ht="15">
      <c r="A15" s="33">
        <v>1</v>
      </c>
      <c r="B15" s="22"/>
      <c r="C15" s="23"/>
      <c r="D15" s="44">
        <f>Шала!D19+Кривцы!D18+Авдеево!D23+Красноборский!D23+район!D25</f>
        <v>6726000</v>
      </c>
      <c r="E15" s="44">
        <f>Шала!E19+Кривцы!E18+Авдеево!E23+Красноборский!E23+район!E25</f>
        <v>0</v>
      </c>
      <c r="F15" s="44">
        <f>Шала!F19+Кривцы!F18+Авдеево!F23+Красноборский!F23+район!F25</f>
        <v>0</v>
      </c>
      <c r="G15" s="44">
        <f>Шала!G19+Кривцы!G18+Авдеево!G23+Красноборский!G23+район!G25</f>
        <v>0</v>
      </c>
      <c r="H15" s="44">
        <f>Шала!H19+Кривцы!H18+Авдеево!H23+Красноборский!H23+район!H25</f>
        <v>38246500</v>
      </c>
      <c r="I15" s="44">
        <f>Шала!I19+Кривцы!I18+Авдеево!I23+Красноборский!I23+район!I25</f>
        <v>0</v>
      </c>
      <c r="J15" s="44">
        <f>Шала!J19+Кривцы!J18+Авдеево!J23+Красноборский!J23+район!J25</f>
        <v>0</v>
      </c>
      <c r="K15" s="44">
        <f>Шала!K19+Кривцы!K18+Авдеево!K23+Красноборский!K23+район!K25</f>
        <v>0</v>
      </c>
      <c r="L15" s="44">
        <f>Шала!L19+Кривцы!L18+Авдеево!L23+Красноборский!L23+район!L25</f>
        <v>24512000</v>
      </c>
      <c r="M15" s="44">
        <f>Шала!M19+Кривцы!M18+Авдеево!M23+Красноборский!M23+район!M25</f>
        <v>13734500</v>
      </c>
      <c r="N15" s="44">
        <f>Шала!N19+Кривцы!N18+Авдеево!N23+Красноборский!N23+район!N25</f>
        <v>5882500</v>
      </c>
      <c r="O15" s="44">
        <f>Шала!O19+Кривцы!O18+Авдеево!O23+Красноборский!O23+район!O25</f>
        <v>106228.51000000001</v>
      </c>
      <c r="P15" s="44">
        <f>Шала!P19+Кривцы!P18+Авдеево!P23+Красноборский!P23+район!P25</f>
        <v>548443.31273954001</v>
      </c>
      <c r="Q15" s="44">
        <f>Шала!Q19+Кривцы!Q18+Авдеево!Q23+Красноборский!Q23+район!Q25</f>
        <v>384421.51999999996</v>
      </c>
      <c r="R15" s="44">
        <f>Шала!R19+Кривцы!R18+Авдеево!R23+Красноборский!R23+район!R25</f>
        <v>270250.30273954</v>
      </c>
    </row>
    <row r="16" spans="1:18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</row>
    <row r="17" spans="1:18" ht="14.25">
      <c r="A17" s="103" t="s">
        <v>20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5"/>
    </row>
    <row r="18" spans="1:18" ht="165">
      <c r="A18" s="33"/>
      <c r="B18" s="22" t="s">
        <v>57</v>
      </c>
      <c r="C18" s="23" t="s">
        <v>44</v>
      </c>
      <c r="D18" s="44">
        <v>2000000</v>
      </c>
      <c r="E18" s="25"/>
      <c r="F18" s="26"/>
      <c r="G18" s="28"/>
      <c r="H18" s="27">
        <v>2000000</v>
      </c>
      <c r="I18" s="28"/>
      <c r="J18" s="28"/>
      <c r="K18" s="28"/>
      <c r="L18" s="29">
        <v>2000000</v>
      </c>
      <c r="M18" s="28">
        <f>H18+J18-L18</f>
        <v>0</v>
      </c>
      <c r="N18" s="28"/>
      <c r="O18" s="28"/>
      <c r="P18" s="48">
        <f>102316.67-1381.65</f>
        <v>100935.02</v>
      </c>
      <c r="Q18" s="48">
        <f>102316.67-1381.65</f>
        <v>100935.02</v>
      </c>
      <c r="R18" s="34">
        <f>O18+P18-Q18</f>
        <v>0</v>
      </c>
    </row>
    <row r="19" spans="1:18" ht="15">
      <c r="A19" s="35" t="s">
        <v>2</v>
      </c>
      <c r="B19" s="22"/>
      <c r="C19" s="23"/>
      <c r="D19" s="44">
        <f>D18+район!D33</f>
        <v>81000000</v>
      </c>
      <c r="E19" s="44">
        <f>E18+район!E33</f>
        <v>0</v>
      </c>
      <c r="F19" s="44">
        <f>F18+район!F33</f>
        <v>0</v>
      </c>
      <c r="G19" s="44">
        <f>G18+район!G33</f>
        <v>0</v>
      </c>
      <c r="H19" s="44">
        <f>H18+район!H33</f>
        <v>46657000</v>
      </c>
      <c r="I19" s="44">
        <f>I18+район!I33</f>
        <v>0</v>
      </c>
      <c r="J19" s="44">
        <f>J18+район!J33</f>
        <v>20000000</v>
      </c>
      <c r="K19" s="44">
        <f>K18+район!K33</f>
        <v>0</v>
      </c>
      <c r="L19" s="44">
        <f>L18+район!L33</f>
        <v>11657000</v>
      </c>
      <c r="M19" s="44">
        <f>M18+район!M33</f>
        <v>55000000</v>
      </c>
      <c r="N19" s="44">
        <f>N18+район!N33</f>
        <v>0</v>
      </c>
      <c r="O19" s="44">
        <f>O18+район!O33</f>
        <v>0</v>
      </c>
      <c r="P19" s="44">
        <f>P18+район!P33</f>
        <v>3360561.4499999997</v>
      </c>
      <c r="Q19" s="44">
        <f>Q18+район!Q33</f>
        <v>3360561.4499999997</v>
      </c>
      <c r="R19" s="44">
        <f>R18+район!R33</f>
        <v>0</v>
      </c>
    </row>
    <row r="20" spans="1:18" ht="14.25">
      <c r="A20" s="103" t="s">
        <v>21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5"/>
    </row>
    <row r="21" spans="1:18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</row>
    <row r="22" spans="1:18" ht="15">
      <c r="A22" s="35" t="s">
        <v>59</v>
      </c>
      <c r="B22" s="22"/>
      <c r="C22" s="23"/>
      <c r="D22" s="44">
        <f>D15+D19</f>
        <v>87726000</v>
      </c>
      <c r="E22" s="44">
        <f t="shared" ref="E22:R22" si="0">E15+E19</f>
        <v>0</v>
      </c>
      <c r="F22" s="44">
        <f t="shared" si="0"/>
        <v>0</v>
      </c>
      <c r="G22" s="44">
        <f t="shared" si="0"/>
        <v>0</v>
      </c>
      <c r="H22" s="44">
        <f t="shared" si="0"/>
        <v>84903500</v>
      </c>
      <c r="I22" s="44">
        <f t="shared" si="0"/>
        <v>0</v>
      </c>
      <c r="J22" s="44">
        <f t="shared" si="0"/>
        <v>20000000</v>
      </c>
      <c r="K22" s="44">
        <f t="shared" si="0"/>
        <v>0</v>
      </c>
      <c r="L22" s="44">
        <f t="shared" si="0"/>
        <v>36169000</v>
      </c>
      <c r="M22" s="44">
        <f t="shared" si="0"/>
        <v>68734500</v>
      </c>
      <c r="N22" s="44">
        <f t="shared" si="0"/>
        <v>5882500</v>
      </c>
      <c r="O22" s="44">
        <f t="shared" si="0"/>
        <v>106228.51000000001</v>
      </c>
      <c r="P22" s="44">
        <f t="shared" si="0"/>
        <v>3909004.7627395396</v>
      </c>
      <c r="Q22" s="44">
        <f t="shared" si="0"/>
        <v>3744982.9699999997</v>
      </c>
      <c r="R22" s="44">
        <f t="shared" si="0"/>
        <v>270250.30273954</v>
      </c>
    </row>
  </sheetData>
  <mergeCells count="23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0:R20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район</vt:lpstr>
      <vt:lpstr>Шала</vt:lpstr>
      <vt:lpstr>Кривцы</vt:lpstr>
      <vt:lpstr>Красноборский</vt:lpstr>
      <vt:lpstr>Город</vt:lpstr>
      <vt:lpstr>Авдеево</vt:lpstr>
      <vt:lpstr>СВОД</vt:lpstr>
      <vt:lpstr>Консолидация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2019-11-03T09:17:12Z</cp:lastPrinted>
  <dcterms:created xsi:type="dcterms:W3CDTF">2006-06-05T06:40:26Z</dcterms:created>
  <dcterms:modified xsi:type="dcterms:W3CDTF">2019-11-03T09:21:39Z</dcterms:modified>
</cp:coreProperties>
</file>