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7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16" i="6"/>
  <c r="P16" i="5"/>
  <c r="P15"/>
  <c r="P18" i="3" l="1"/>
  <c r="P17"/>
  <c r="P16"/>
  <c r="P15"/>
  <c r="N16" i="5" l="1"/>
  <c r="N15"/>
  <c r="L23" i="2" l="1"/>
  <c r="L22"/>
  <c r="L21"/>
  <c r="L20"/>
  <c r="L19"/>
  <c r="N17" i="6" l="1"/>
  <c r="N23" s="1"/>
  <c r="P20" i="2" l="1"/>
  <c r="P19"/>
  <c r="Q32"/>
  <c r="Q31"/>
  <c r="Q30"/>
  <c r="Q20"/>
  <c r="Q19"/>
  <c r="P32"/>
  <c r="P31"/>
  <c r="P30"/>
  <c r="I1" i="6"/>
  <c r="H1" i="5"/>
  <c r="I1" i="8" s="1"/>
  <c r="I1" i="3"/>
  <c r="R16" i="6"/>
  <c r="P17"/>
  <c r="P23" s="1"/>
  <c r="Q33" i="2" l="1"/>
  <c r="Q28"/>
  <c r="J33"/>
  <c r="J36" s="1"/>
  <c r="H36"/>
  <c r="P33"/>
  <c r="L33"/>
  <c r="M33"/>
  <c r="R32"/>
  <c r="P28"/>
  <c r="I33"/>
  <c r="N33"/>
  <c r="O33"/>
  <c r="M32"/>
  <c r="D36" l="1"/>
  <c r="D33"/>
  <c r="Q16" i="5"/>
  <c r="Q15"/>
  <c r="Q18" i="9"/>
  <c r="P18"/>
  <c r="Q21" i="8"/>
  <c r="P21"/>
  <c r="L16" i="5"/>
  <c r="L15"/>
  <c r="Q16" i="6" l="1"/>
  <c r="P17" i="2"/>
  <c r="Q17" l="1"/>
  <c r="Q23" l="1"/>
  <c r="Q22"/>
  <c r="Q21"/>
  <c r="P23"/>
  <c r="P22"/>
  <c r="P21"/>
  <c r="L17"/>
  <c r="Q18" i="7" l="1"/>
  <c r="P18"/>
  <c r="P25" i="8" l="1"/>
  <c r="L25" i="2"/>
  <c r="Q17" i="5"/>
  <c r="N25" i="2"/>
  <c r="O25"/>
  <c r="P25"/>
  <c r="M18" i="9"/>
  <c r="N25" i="8"/>
  <c r="O25"/>
  <c r="Q25"/>
  <c r="I25"/>
  <c r="J25"/>
  <c r="K25"/>
  <c r="L25"/>
  <c r="H25"/>
  <c r="M21"/>
  <c r="M25" s="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19"/>
  <c r="P19"/>
  <c r="R31" i="2"/>
  <c r="I19" i="9"/>
  <c r="J19"/>
  <c r="K19"/>
  <c r="L19"/>
  <c r="H33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6" i="2" l="1"/>
  <c r="G22" i="9"/>
  <c r="F22"/>
  <c r="E22"/>
  <c r="R19" i="8"/>
  <c r="R25" s="1"/>
  <c r="M19"/>
  <c r="P19"/>
  <c r="D19" i="9" l="1"/>
  <c r="R30" i="2" l="1"/>
  <c r="Q18" i="4" l="1"/>
  <c r="M19" i="9" l="1"/>
  <c r="R23" i="2"/>
  <c r="M23" l="1"/>
  <c r="R29" l="1"/>
  <c r="R28" l="1"/>
  <c r="R33" s="1"/>
  <c r="R22" l="1"/>
  <c r="M22"/>
  <c r="R21" l="1"/>
  <c r="M16" i="5"/>
  <c r="G15" i="7"/>
  <c r="G22" s="1"/>
  <c r="J23" i="6"/>
  <c r="K23"/>
  <c r="R17"/>
  <c r="R23" s="1"/>
  <c r="Q17"/>
  <c r="Q23" s="1"/>
  <c r="M16"/>
  <c r="L17"/>
  <c r="L23" s="1"/>
  <c r="H17"/>
  <c r="H23" s="1"/>
  <c r="I17"/>
  <c r="I23" s="1"/>
  <c r="J17"/>
  <c r="K17"/>
  <c r="O17"/>
  <c r="O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L36" i="2"/>
  <c r="R19" i="9"/>
  <c r="R17" i="2" l="1"/>
  <c r="O36"/>
  <c r="M17"/>
  <c r="M19"/>
  <c r="M20"/>
  <c r="M21"/>
  <c r="M25" l="1"/>
  <c r="N36"/>
  <c r="N15" i="9"/>
  <c r="N22" s="1"/>
  <c r="Q36" i="2"/>
  <c r="R20"/>
  <c r="R19"/>
  <c r="P36"/>
  <c r="R25" l="1"/>
  <c r="M36"/>
  <c r="M15" i="9"/>
  <c r="M22" s="1"/>
  <c r="R36" i="2" l="1"/>
  <c r="R15" i="9"/>
  <c r="R22" s="1"/>
</calcChain>
</file>

<file path=xl/sharedStrings.xml><?xml version="1.0" encoding="utf-8"?>
<sst xmlns="http://schemas.openxmlformats.org/spreadsheetml/2006/main" count="315" uniqueCount="82">
  <si>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</si>
  <si>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</si>
  <si>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</si>
  <si>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</si>
  <si>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</si>
  <si>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</si>
  <si>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</si>
  <si>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</si>
  <si>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</si>
  <si>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</si>
  <si>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</si>
  <si>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</si>
  <si>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</si>
  <si>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</si>
  <si>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</si>
  <si>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</si>
  <si>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</si>
  <si>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</si>
  <si>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</si>
  <si>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</si>
  <si>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</si>
  <si>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</si>
  <si>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</si>
  <si>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</si>
  <si>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</si>
  <si>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</si>
  <si>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</si>
  <si>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</si>
  <si>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</si>
  <si>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</si>
  <si>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</si>
  <si>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</si>
  <si>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</si>
  <si>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</si>
  <si>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</si>
  <si>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</si>
  <si>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</si>
  <si>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</si>
  <si>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</si>
  <si>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</si>
  <si>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Договор № 6 от 02.10.2016</t>
  </si>
  <si>
    <t>казна поселения</t>
  </si>
  <si>
    <t>Договор  N13-1/17 от  08.06.2017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</si>
  <si>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</si>
  <si>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</si>
  <si>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</si>
  <si>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</si>
  <si>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</si>
  <si>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</si>
  <si>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</si>
  <si>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</si>
  <si>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</si>
  <si>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</si>
  <si>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</si>
  <si>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</si>
  <si>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</si>
  <si>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</si>
  <si>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</si>
  <si>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</si>
  <si>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</si>
  <si>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</si>
  <si>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</si>
  <si>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</si>
  <si>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</si>
  <si>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</si>
  <si>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</si>
  <si>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</si>
  <si>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</si>
  <si>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</si>
  <si>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</si>
  <si>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</si>
  <si>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</si>
  <si>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</si>
  <si>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Исполнитель                                             /  Ю.С. Павлюх    / тел 8(81452)5-13-61</t>
  </si>
  <si>
    <t>10.09</t>
  </si>
  <si>
    <t xml:space="preserve">Информация о долговых обяхательствах  Пудожского муниципального района по состоянию </t>
  </si>
  <si>
    <t>Информация о долговых обязательствах  Шальского сельского поселения</t>
  </si>
  <si>
    <t xml:space="preserve">Информация о долговых обяхательствах Красноборского сельского поселения </t>
  </si>
  <si>
    <t xml:space="preserve">Информация о долговых обязательствах Пудожского городского поселения </t>
  </si>
  <si>
    <t xml:space="preserve">Информация о долговых обяхательствах Авдеевского сельского поселения </t>
  </si>
  <si>
    <t>Муниципальный контракт  N 31 аэф-19 от 02.09.2019</t>
  </si>
  <si>
    <t>на 1 НОЯБРЯ 2019года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</si>
</sst>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Normal="100" workbookViewId="0">
      <selection activeCell="Q36" sqref="Q36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96" t="s">
        <v>10</v>
      </c>
      <c r="R1" s="96"/>
    </row>
    <row r="2" spans="1:18" ht="26.25" customHeight="1">
      <c r="Q2" s="96"/>
      <c r="R2" s="96"/>
    </row>
    <row r="3" spans="1:18" ht="21.75" customHeight="1">
      <c r="A3" s="94" t="s">
        <v>75</v>
      </c>
      <c r="B3" s="94"/>
      <c r="C3" s="94"/>
      <c r="D3" s="94"/>
      <c r="E3" s="94"/>
      <c r="F3" s="94"/>
      <c r="G3" s="94" t="s">
        <v>81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97"/>
      <c r="F7" s="97"/>
      <c r="G7" s="97"/>
      <c r="H7" s="97"/>
      <c r="I7" s="97"/>
      <c r="J7" s="97"/>
      <c r="K7" s="97"/>
      <c r="L7" s="97"/>
      <c r="M7" s="9"/>
      <c r="N7" s="9"/>
    </row>
    <row r="8" spans="1:18" ht="5.25" customHeight="1"/>
    <row r="9" spans="1:18" ht="15" customHeight="1"/>
    <row r="10" spans="1:18" ht="36.75" customHeight="1">
      <c r="A10" s="98" t="s">
        <v>1</v>
      </c>
      <c r="B10" s="99" t="s">
        <v>23</v>
      </c>
      <c r="C10" s="99" t="s">
        <v>11</v>
      </c>
      <c r="D10" s="99" t="s">
        <v>24</v>
      </c>
      <c r="E10" s="99" t="s">
        <v>25</v>
      </c>
      <c r="F10" s="99" t="s">
        <v>7</v>
      </c>
      <c r="G10" s="99" t="s">
        <v>0</v>
      </c>
      <c r="H10" s="99" t="s">
        <v>15</v>
      </c>
      <c r="I10" s="99" t="s">
        <v>8</v>
      </c>
      <c r="J10" s="99" t="s">
        <v>12</v>
      </c>
      <c r="K10" s="99" t="s">
        <v>9</v>
      </c>
      <c r="L10" s="99" t="s">
        <v>13</v>
      </c>
      <c r="M10" s="101" t="s">
        <v>22</v>
      </c>
      <c r="N10" s="102"/>
      <c r="O10" s="99" t="s">
        <v>4</v>
      </c>
      <c r="P10" s="99" t="s">
        <v>19</v>
      </c>
      <c r="Q10" s="99" t="s">
        <v>18</v>
      </c>
      <c r="R10" s="99" t="s">
        <v>17</v>
      </c>
    </row>
    <row r="11" spans="1:18" s="13" customFormat="1" ht="94.5" customHeight="1">
      <c r="A11" s="98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40" t="s">
        <v>14</v>
      </c>
      <c r="N11" s="40" t="s">
        <v>16</v>
      </c>
      <c r="O11" s="100"/>
      <c r="P11" s="100"/>
      <c r="Q11" s="100"/>
      <c r="R11" s="100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7" t="s">
        <v>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103" t="s">
        <v>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115">
        <f>1544000+1544000+1544000+1544000+1544000+1544000+1544000+2000</f>
        <v>10810000</v>
      </c>
      <c r="M17" s="115">
        <f t="shared" ref="M17:M23" si="0">H17+J17-L17</f>
        <v>0</v>
      </c>
      <c r="N17" s="49"/>
      <c r="O17" s="48">
        <v>0</v>
      </c>
      <c r="P17" s="48">
        <f>22622.12+16065.84+16612.58+1595.47+11804.81+7543.62+4325.6+529.45</f>
        <v>81099.490000000005</v>
      </c>
      <c r="Q17" s="48">
        <f>22622.12+16065.84+18208.05+11804.81+7543.62+4325.6+529.45</f>
        <v>81099.489999999991</v>
      </c>
      <c r="R17" s="49">
        <f t="shared" ref="R17:R23" si="1">O17+P17-Q17</f>
        <v>0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115"/>
      <c r="M18" s="115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115">
        <f>450000+450000+450000+450000+450000+450000+450000+450000+450000+450000</f>
        <v>4500000</v>
      </c>
      <c r="M19" s="115">
        <f t="shared" si="0"/>
        <v>500000</v>
      </c>
      <c r="N19" s="49"/>
      <c r="O19" s="48">
        <v>0</v>
      </c>
      <c r="P19" s="48">
        <f>10650.45+8346.98+8898.97+465+7494.24+6255.81+5128.15+4038.75+3082.53+1928.55+1096.68</f>
        <v>57386.11</v>
      </c>
      <c r="Q19" s="48">
        <f>10650.45+8346.98+9363.97+7494.24+6255.81+5128.15+4038.75+3082.53+1928.55</f>
        <v>56289.43</v>
      </c>
      <c r="R19" s="49">
        <f t="shared" si="1"/>
        <v>1096.6800000000003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115">
        <f>151000+151000+151000+151000+151000+151000+151000+151000+151000+151000</f>
        <v>1510000</v>
      </c>
      <c r="M20" s="115">
        <f t="shared" si="0"/>
        <v>302000</v>
      </c>
      <c r="N20" s="49"/>
      <c r="O20" s="48">
        <v>0</v>
      </c>
      <c r="P20" s="48">
        <f>3868.27+3066.84+3280.55+156.03+2799.69+2393.62+2001.44+1639.29+1309.91+906.97+631.51</f>
        <v>22054.12</v>
      </c>
      <c r="Q20" s="48">
        <f>3868.27+3066.84+3436.58+2799.69+2393.62+2001.44+1639.29+1309.91+906.97</f>
        <v>21422.61</v>
      </c>
      <c r="R20" s="49">
        <f t="shared" si="1"/>
        <v>631.5099999999984</v>
      </c>
    </row>
    <row r="21" spans="1:18" s="3" customFormat="1" ht="42" customHeight="1">
      <c r="A21" s="71">
        <v>17</v>
      </c>
      <c r="B21" s="22" t="s">
        <v>42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90">
        <f>596000+596000+596000+596000+596000+596000+596000+596000</f>
        <v>4768000</v>
      </c>
      <c r="M21" s="115">
        <f t="shared" si="0"/>
        <v>2979000</v>
      </c>
      <c r="N21" s="28"/>
      <c r="O21" s="28">
        <v>0</v>
      </c>
      <c r="P21" s="48">
        <f>615.87+89063.44</f>
        <v>89679.31</v>
      </c>
      <c r="Q21" s="48">
        <f>615.87+89063.44</f>
        <v>89679.31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43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90">
        <f>60000+60000+60000+60000+60000+60000+60000+60000+60000+60000</f>
        <v>600000</v>
      </c>
      <c r="M22" s="115">
        <f t="shared" si="0"/>
        <v>540000</v>
      </c>
      <c r="N22" s="28"/>
      <c r="O22" s="28">
        <v>0</v>
      </c>
      <c r="P22" s="48">
        <f>62+12309.86</f>
        <v>12371.86</v>
      </c>
      <c r="Q22" s="48">
        <f>62+12309.86</f>
        <v>12371.86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48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90">
        <f>273000+273000+273000+273000+273000+273000+273000+273000</f>
        <v>2184000</v>
      </c>
      <c r="M23" s="115">
        <f t="shared" si="0"/>
        <v>3286000</v>
      </c>
      <c r="N23" s="28"/>
      <c r="O23" s="28">
        <v>0</v>
      </c>
      <c r="P23" s="48">
        <f>282.1+65423.6</f>
        <v>65705.7</v>
      </c>
      <c r="Q23" s="28">
        <f>282.1+65423.6</f>
        <v>65705.7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90"/>
      <c r="M24" s="115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90">
        <f t="shared" si="2"/>
        <v>24372000</v>
      </c>
      <c r="M25" s="90">
        <f t="shared" si="2"/>
        <v>7607000</v>
      </c>
      <c r="N25" s="28">
        <f t="shared" si="2"/>
        <v>0</v>
      </c>
      <c r="O25" s="28">
        <f t="shared" si="2"/>
        <v>0</v>
      </c>
      <c r="P25" s="48">
        <f t="shared" si="2"/>
        <v>328296.59000000003</v>
      </c>
      <c r="Q25" s="48">
        <f t="shared" si="2"/>
        <v>326568.39999999997</v>
      </c>
      <c r="R25" s="48">
        <f t="shared" si="2"/>
        <v>1728.1899999999987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103" t="s">
        <v>20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</row>
    <row r="28" spans="1:18" s="3" customFormat="1" ht="58.5" customHeight="1">
      <c r="A28" s="76">
        <v>1</v>
      </c>
      <c r="B28" s="22" t="s">
        <v>45</v>
      </c>
      <c r="C28" s="23" t="s">
        <v>44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93" t="s">
        <v>74</v>
      </c>
      <c r="L28" s="57">
        <v>7900000</v>
      </c>
      <c r="M28" s="49">
        <f>H28+J28-L28</f>
        <v>0</v>
      </c>
      <c r="N28" s="49"/>
      <c r="O28" s="49"/>
      <c r="P28" s="92">
        <f>68330.45+61717.83+68330.45+66126.25+68330.45+66126.25+68330.45+68330.45+22042.08</f>
        <v>557664.65999999992</v>
      </c>
      <c r="Q28" s="48">
        <f>68330.45+61717.83+68330.45+66126.25+68330.45+66126.25+68330.45+68330.45+22042.08</f>
        <v>557664.65999999992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46</v>
      </c>
      <c r="C29" s="23" t="s">
        <v>47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66</v>
      </c>
      <c r="L29" s="57">
        <v>1757000</v>
      </c>
      <c r="M29" s="49">
        <f t="shared" ref="M29:M31" si="3">H29+J29-L29</f>
        <v>0</v>
      </c>
      <c r="N29" s="49"/>
      <c r="O29" s="49"/>
      <c r="P29" s="92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49</v>
      </c>
      <c r="C30" s="23" t="s">
        <v>44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92">
        <f>108287.67+97808.22+108287.67+104794.52+108287.67+104794.52+108287.67+108287.67+104794.52+108287.67</f>
        <v>1061917.8</v>
      </c>
      <c r="Q30" s="48">
        <f>108287.67+97808.22+108287.67+104794.52+108287.67+104794.52+108287.67+108287.67+104794.52+108287.67</f>
        <v>1061917.8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55</v>
      </c>
      <c r="C31" s="23" t="s">
        <v>44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92">
        <f>140136.99+126575.34+140136.99+135616.44+140136.99+135616.44+140136.99+140136.99+135616.44+140136.99</f>
        <v>1374246.5999999999</v>
      </c>
      <c r="Q31" s="48">
        <f>140136.99+126575.34+140136.99+135616.44+140136.99+135616.44+140136.99+140136.99+135616.44+140136.99</f>
        <v>1374246.5999999999</v>
      </c>
      <c r="R31" s="49">
        <f>O31+P31-Q31</f>
        <v>0</v>
      </c>
    </row>
    <row r="32" spans="1:18" s="3" customFormat="1" ht="49.5" customHeight="1">
      <c r="A32" s="76">
        <v>5</v>
      </c>
      <c r="B32" s="22" t="s">
        <v>80</v>
      </c>
      <c r="C32" s="23" t="s">
        <v>44</v>
      </c>
      <c r="D32" s="44">
        <v>20000000</v>
      </c>
      <c r="E32" s="45">
        <v>44439</v>
      </c>
      <c r="F32" s="46" t="s">
        <v>30</v>
      </c>
      <c r="G32" s="77">
        <v>8.6999999999999993</v>
      </c>
      <c r="H32" s="48">
        <v>0</v>
      </c>
      <c r="I32" s="56"/>
      <c r="J32" s="60">
        <v>20000000</v>
      </c>
      <c r="K32" s="78"/>
      <c r="L32" s="57"/>
      <c r="M32" s="49">
        <f>H32+J32-L32</f>
        <v>20000000</v>
      </c>
      <c r="N32" s="49"/>
      <c r="O32" s="49"/>
      <c r="P32" s="92">
        <f>100109.59+147780.82</f>
        <v>247890.41</v>
      </c>
      <c r="Q32" s="48">
        <f>100109.59+147780.82</f>
        <v>247890.41</v>
      </c>
      <c r="R32" s="49">
        <f>O32+P32-Q32</f>
        <v>0</v>
      </c>
    </row>
    <row r="33" spans="1:18" s="3" customFormat="1" ht="18.75" customHeight="1">
      <c r="A33" s="35" t="s">
        <v>2</v>
      </c>
      <c r="B33" s="22"/>
      <c r="C33" s="23"/>
      <c r="D33" s="44">
        <f>D28+D29+D30+D31+D32</f>
        <v>79000000</v>
      </c>
      <c r="E33" s="44"/>
      <c r="F33" s="44"/>
      <c r="G33" s="44"/>
      <c r="H33" s="44">
        <f t="shared" ref="H33:O33" si="4">H28+H29+H30+H31</f>
        <v>44657000</v>
      </c>
      <c r="I33" s="44">
        <f t="shared" si="4"/>
        <v>0</v>
      </c>
      <c r="J33" s="44">
        <f>J28+J29+J30+J31+J32</f>
        <v>20000000</v>
      </c>
      <c r="K33" s="44"/>
      <c r="L33" s="44">
        <f>L28+L29+L30+L31+L32</f>
        <v>9657000</v>
      </c>
      <c r="M33" s="44">
        <f>M28+M29+M30+M31+M32</f>
        <v>55000000</v>
      </c>
      <c r="N33" s="44">
        <f t="shared" si="4"/>
        <v>0</v>
      </c>
      <c r="O33" s="44">
        <f t="shared" si="4"/>
        <v>0</v>
      </c>
      <c r="P33" s="44">
        <f>P28+P29+P30+P31+P32</f>
        <v>3259626.4299999997</v>
      </c>
      <c r="Q33" s="44">
        <f>Q28+Q29+Q30+Q31+Q32</f>
        <v>3259626.4299999997</v>
      </c>
      <c r="R33" s="44">
        <f>R28+R29+R30+R31+R32</f>
        <v>0</v>
      </c>
    </row>
    <row r="34" spans="1:18" s="3" customFormat="1" ht="0.75" customHeight="1">
      <c r="A34" s="103" t="s">
        <v>21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5"/>
    </row>
    <row r="35" spans="1:18" s="3" customFormat="1" ht="8.25" hidden="1" customHeight="1">
      <c r="A35" s="33"/>
      <c r="B35" s="22"/>
      <c r="C35" s="23"/>
      <c r="D35" s="24"/>
      <c r="E35" s="25"/>
      <c r="F35" s="26"/>
      <c r="G35" s="28"/>
      <c r="H35" s="27"/>
      <c r="I35" s="28"/>
      <c r="J35" s="28"/>
      <c r="K35" s="28"/>
      <c r="L35" s="29"/>
      <c r="M35" s="28"/>
      <c r="N35" s="28"/>
      <c r="O35" s="28"/>
      <c r="P35" s="28"/>
      <c r="Q35" s="28"/>
      <c r="R35" s="34"/>
    </row>
    <row r="36" spans="1:18" s="3" customFormat="1" ht="18.75" customHeight="1">
      <c r="A36" s="35" t="s">
        <v>31</v>
      </c>
      <c r="B36" s="22"/>
      <c r="C36" s="23"/>
      <c r="D36" s="44">
        <f>D25+D33+D30</f>
        <v>94000000</v>
      </c>
      <c r="E36" s="44"/>
      <c r="F36" s="44"/>
      <c r="G36" s="44"/>
      <c r="H36" s="44">
        <f>H25+H33</f>
        <v>76636000</v>
      </c>
      <c r="I36" s="44">
        <f>I25+I33</f>
        <v>0</v>
      </c>
      <c r="J36" s="44">
        <f>J25+J33</f>
        <v>20000000</v>
      </c>
      <c r="K36" s="44"/>
      <c r="L36" s="44">
        <f t="shared" ref="L36:R36" si="5">L25+L33</f>
        <v>34029000</v>
      </c>
      <c r="M36" s="87">
        <f t="shared" si="5"/>
        <v>62607000</v>
      </c>
      <c r="N36" s="44">
        <f t="shared" si="5"/>
        <v>0</v>
      </c>
      <c r="O36" s="44">
        <f t="shared" si="5"/>
        <v>0</v>
      </c>
      <c r="P36" s="44">
        <f t="shared" si="5"/>
        <v>3587923.0199999996</v>
      </c>
      <c r="Q36" s="44">
        <f t="shared" si="5"/>
        <v>3586194.8299999996</v>
      </c>
      <c r="R36" s="44">
        <f t="shared" si="5"/>
        <v>1728.1899999999987</v>
      </c>
    </row>
    <row r="37" spans="1:18" s="19" customFormat="1" ht="33" hidden="1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</row>
    <row r="38" spans="1:18" ht="10.5" customHeight="1">
      <c r="A38" s="14"/>
      <c r="B38" s="15"/>
      <c r="C38" s="15"/>
      <c r="D38" s="16"/>
      <c r="E38" s="18"/>
      <c r="F38" s="18"/>
      <c r="G38" s="20"/>
      <c r="H38" s="20"/>
      <c r="I38" s="21"/>
      <c r="J38" s="21"/>
      <c r="K38" s="21"/>
      <c r="L38" s="21"/>
      <c r="M38" s="20"/>
      <c r="N38" s="20"/>
      <c r="O38" s="20"/>
      <c r="P38" s="20"/>
      <c r="Q38" s="20"/>
      <c r="R38" s="20"/>
    </row>
    <row r="39" spans="1:18">
      <c r="A39" s="36" t="s">
        <v>50</v>
      </c>
      <c r="B39" s="37"/>
      <c r="C39" s="37"/>
      <c r="D39" s="38"/>
      <c r="E39" s="39"/>
      <c r="F39" s="39"/>
      <c r="H39" s="36"/>
      <c r="I39" s="36"/>
    </row>
    <row r="41" spans="1:18">
      <c r="A41" s="36" t="s">
        <v>67</v>
      </c>
      <c r="B41" s="37"/>
      <c r="C41" s="37"/>
      <c r="D41" s="38"/>
      <c r="E41" s="39"/>
      <c r="F41" s="39"/>
      <c r="H41" s="36"/>
      <c r="I41" s="36"/>
    </row>
    <row r="43" spans="1:18">
      <c r="A43" s="36" t="s">
        <v>73</v>
      </c>
      <c r="B43" s="37"/>
      <c r="C43" s="37"/>
      <c r="D43" s="38"/>
      <c r="E43" s="39"/>
      <c r="F43" s="39"/>
      <c r="H43" s="36"/>
      <c r="I43" s="36"/>
    </row>
    <row r="47" spans="1:18">
      <c r="A47" s="36"/>
      <c r="B47" s="37"/>
      <c r="C47" s="37"/>
      <c r="D47" s="38"/>
      <c r="E47" s="39"/>
      <c r="F47" s="39"/>
      <c r="H47" s="36"/>
      <c r="I47" s="36"/>
    </row>
    <row r="58" spans="2:2" ht="16.5" customHeight="1"/>
    <row r="59" spans="2:2" ht="30" customHeight="1">
      <c r="B59" s="17"/>
    </row>
  </sheetData>
  <mergeCells count="24">
    <mergeCell ref="A34:R34"/>
    <mergeCell ref="A37:R37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  <mergeCell ref="Q1:R2"/>
    <mergeCell ref="E7:L7"/>
    <mergeCell ref="A10:A11"/>
    <mergeCell ref="I10:I11"/>
    <mergeCell ref="J10:J11"/>
    <mergeCell ref="K10:K11"/>
    <mergeCell ref="L10:L11"/>
    <mergeCell ref="M10:N10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Normal="100" workbookViewId="0">
      <selection activeCell="D6" sqref="D6"/>
    </sheetView>
  </sheetViews>
  <sheetFormatPr defaultRowHeight="12.75"/>
  <cols>
    <col min="2" max="2" width="13.42578125" customWidth="1"/>
    <col min="3" max="3" width="9.140625" customWidth="1"/>
    <col min="4" max="4" width="1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4" t="s">
        <v>76</v>
      </c>
      <c r="B1" s="94"/>
      <c r="C1" s="94"/>
      <c r="D1" s="94"/>
      <c r="E1" s="94"/>
      <c r="F1" s="94"/>
      <c r="G1" s="94"/>
      <c r="H1" s="94"/>
      <c r="I1" s="94" t="str">
        <f>район!G3</f>
        <v>на 1 НОЯБРЯ 2019года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  <c r="S8" s="1"/>
      <c r="T8" s="1"/>
    </row>
    <row r="9" spans="1:20" ht="33.7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5" t="s">
        <v>14</v>
      </c>
      <c r="N9" s="55" t="s">
        <v>16</v>
      </c>
      <c r="O9" s="100"/>
      <c r="P9" s="100"/>
      <c r="Q9" s="100"/>
      <c r="R9" s="100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115">
        <f>H15+J15-L15</f>
        <v>495000</v>
      </c>
      <c r="N15" s="115">
        <v>495000</v>
      </c>
      <c r="O15" s="90">
        <v>13795.48</v>
      </c>
      <c r="P15" s="90">
        <f>1086.06+5.68+26.35+980.96+5.05+13.18+1086.06+4.56+26.35+1051.03+5.61+21.96+1086.06+26.35+5.7+1035.21+1051.03+5.43+25.5+1051.03+5.52+25.5+958.36+3498+84.53+980.96+3580.5+163.86</f>
        <v>17896.390000000003</v>
      </c>
      <c r="Q15" s="90">
        <v>4312.8500000000004</v>
      </c>
      <c r="R15" s="115">
        <f>O15+P15-Q15</f>
        <v>27379.020000000004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115">
        <f>H16+J16-L16</f>
        <v>1356500</v>
      </c>
      <c r="N16" s="115">
        <v>1356500</v>
      </c>
      <c r="O16" s="90">
        <v>38042.15</v>
      </c>
      <c r="P16" s="90">
        <f>2976.25+55.8+15.89+2688.22+27.9+13.84+2976.25+27.9+13.84+2880.24+46.5+15.38+2976.25+55.8+15.63+2836.88+2880.24+54+14.89+2880.24+54+15.12+958.36+3498+84.53273954+9999.33+239.83+2688.22+9812.02+467.31</f>
        <v>51268.662739539999</v>
      </c>
      <c r="Q16" s="90">
        <v>11738.01</v>
      </c>
      <c r="R16" s="115">
        <f>O16+P16-Q16</f>
        <v>77572.802739540013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115">
        <f>H17+J17-L17</f>
        <v>1745000</v>
      </c>
      <c r="N17" s="115">
        <v>1745000</v>
      </c>
      <c r="O17" s="90">
        <v>4709.6899999999996</v>
      </c>
      <c r="P17" s="90">
        <f>3828.64+6.46+20.4+3458.13+3.88+17.8+3828.64+7.75+18.76+3705.14+6.46+19.78+3828.64+7.75+20.1+3585.62+3705.14+7.5+18.82+3705.14+7.5+19.45+3378.45+12331.33+91.54+3458.13+12622.17+256.18</f>
        <v>61965.299999999996</v>
      </c>
      <c r="Q17" s="90">
        <v>14921.84</v>
      </c>
      <c r="R17" s="115">
        <f>O17+P17-Q17</f>
        <v>51753.149999999994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115">
        <f>H18+J18-L18</f>
        <v>1415000</v>
      </c>
      <c r="N18" s="115">
        <v>1415000</v>
      </c>
      <c r="O18" s="90">
        <v>38625.760000000002</v>
      </c>
      <c r="P18" s="90">
        <f>3104.6+220.1+16.58+2804.16+110.05+14.44+3104.6+220.1+15.21+3004.45+183.42+16.04+3104.6+220.1+16.3+2959.22+3004.45+213+15.54+3004.45+213+15.77+2626.28+9585.93+232.52+2804.16+10235.17+461.75</f>
        <v>51525.989999999991</v>
      </c>
      <c r="Q18" s="90">
        <v>12813.75</v>
      </c>
      <c r="R18" s="115">
        <f>O18+P18-Q18</f>
        <v>77338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87">
        <f t="shared" si="0"/>
        <v>5011500</v>
      </c>
      <c r="N19" s="87">
        <f t="shared" si="0"/>
        <v>5011500</v>
      </c>
      <c r="O19" s="87">
        <f t="shared" si="0"/>
        <v>95173.080000000016</v>
      </c>
      <c r="P19" s="87">
        <f t="shared" si="0"/>
        <v>182656.34273953998</v>
      </c>
      <c r="Q19" s="87">
        <f t="shared" si="0"/>
        <v>43786.45</v>
      </c>
      <c r="R19" s="87">
        <f t="shared" si="0"/>
        <v>234042.97273954001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10" t="s">
        <v>20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10" t="s">
        <v>21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5011500</v>
      </c>
      <c r="O26" s="91">
        <f t="shared" si="1"/>
        <v>95173.080000000016</v>
      </c>
      <c r="P26" s="91">
        <f t="shared" si="1"/>
        <v>182656.34273953998</v>
      </c>
      <c r="Q26" s="91">
        <f t="shared" si="1"/>
        <v>43786.45</v>
      </c>
      <c r="R26" s="91">
        <f t="shared" si="1"/>
        <v>234042.97273954001</v>
      </c>
      <c r="S26" s="3"/>
      <c r="T26" s="3"/>
    </row>
    <row r="27" spans="1:20" ht="34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73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3"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H7" sqref="H7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  <c r="S8" s="1"/>
      <c r="T8" s="1"/>
    </row>
    <row r="9" spans="1:20" ht="78.7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5" t="s">
        <v>14</v>
      </c>
      <c r="N9" s="55" t="s">
        <v>16</v>
      </c>
      <c r="O9" s="100"/>
      <c r="P9" s="100"/>
      <c r="Q9" s="100"/>
      <c r="R9" s="100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103" t="s">
        <v>20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103" t="s">
        <v>21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54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73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opLeftCell="A4" zoomScale="77" zoomScaleNormal="77" workbookViewId="0">
      <selection activeCell="F16" sqref="F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4" max="14" width="11.71093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4" t="s">
        <v>77</v>
      </c>
      <c r="B1" s="94"/>
      <c r="C1" s="94"/>
      <c r="D1" s="94"/>
      <c r="E1" s="94"/>
      <c r="F1" s="94"/>
      <c r="G1" s="94"/>
      <c r="H1" s="94" t="str">
        <f>район!G3</f>
        <v>на 1 НОЯБРЯ 2019года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  <c r="S8" s="1"/>
      <c r="T8" s="1"/>
    </row>
    <row r="9" spans="1:20" ht="4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5" t="s">
        <v>14</v>
      </c>
      <c r="N9" s="55" t="s">
        <v>16</v>
      </c>
      <c r="O9" s="100"/>
      <c r="P9" s="100"/>
      <c r="Q9" s="100"/>
      <c r="R9" s="100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44196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25500+8500+8500+8500+8500+8500</f>
        <v>68000</v>
      </c>
      <c r="M15" s="47">
        <f>H15+J15-L15</f>
        <v>136000</v>
      </c>
      <c r="N15" s="95">
        <f>8500+8500</f>
        <v>17000</v>
      </c>
      <c r="O15" s="70">
        <v>863.11</v>
      </c>
      <c r="P15" s="70">
        <f>447.59+2.39+68.07+404.27+2.08+61.48+431.35+362.66+372.99+63.68+342.29+324.86+0.88+61.63+305.07+2.12+418.19+9.92+1.95+269.52+122.97+5.89</f>
        <v>4081.85</v>
      </c>
      <c r="Q15" s="70">
        <f>476.47+2.66+1235.84+134.02+431.35+362.66+372.99+63.68+324.86+0.88+13.5+313.78</f>
        <v>3732.6899999999996</v>
      </c>
      <c r="R15" s="49">
        <f>O15+P15-Q15</f>
        <v>1212.2700000000004</v>
      </c>
      <c r="S15" s="3"/>
      <c r="T15" s="3"/>
    </row>
    <row r="16" spans="1:20" ht="131.25">
      <c r="A16" s="64">
        <v>4</v>
      </c>
      <c r="B16" s="63" t="s">
        <v>64</v>
      </c>
      <c r="C16" s="65" t="s">
        <v>37</v>
      </c>
      <c r="D16" s="66">
        <v>216000</v>
      </c>
      <c r="E16" s="67">
        <v>44196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27000+9000+9000+9000+9000+9000</f>
        <v>72000</v>
      </c>
      <c r="M16" s="47">
        <f>H16+J16-L16</f>
        <v>144000</v>
      </c>
      <c r="N16" s="28">
        <f>9000+9000</f>
        <v>18000</v>
      </c>
      <c r="O16" s="70">
        <v>1492.43</v>
      </c>
      <c r="P16" s="70">
        <f>458.63+2.49+72.08+414.25+2.13+65.1+452.84+0.51+373.01+382.19+13.95+362.42+343.97+1.97+13.5+323.01+1.7+394.96+10.5+1.84+285.37+130.2+4.74</f>
        <v>4111.3599999999988</v>
      </c>
      <c r="Q16" s="70">
        <f>2.82+504.49+1764.16+141.8+536.68+0.51+10+373.01+0.51+382.19+13.95+343.97+1.97+61.63+390.42</f>
        <v>4528.1099999999997</v>
      </c>
      <c r="R16" s="49">
        <f>O16+P16-Q16</f>
        <v>1075.6799999999994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88392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140000</v>
      </c>
      <c r="M17" s="44">
        <f t="shared" si="0"/>
        <v>280000</v>
      </c>
      <c r="N17" s="44">
        <f t="shared" si="0"/>
        <v>35000</v>
      </c>
      <c r="O17" s="44">
        <f t="shared" si="0"/>
        <v>2355.54</v>
      </c>
      <c r="P17" s="44">
        <f t="shared" si="0"/>
        <v>8193.2099999999991</v>
      </c>
      <c r="Q17" s="44">
        <f t="shared" si="0"/>
        <v>8260.7999999999993</v>
      </c>
      <c r="R17" s="44">
        <f t="shared" si="0"/>
        <v>2287.9499999999998</v>
      </c>
      <c r="S17" s="3"/>
      <c r="T17" s="3"/>
    </row>
    <row r="18" spans="1:20" ht="15">
      <c r="A18" s="103" t="s">
        <v>20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3" t="s">
        <v>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140000</v>
      </c>
      <c r="M23" s="91">
        <f t="shared" si="1"/>
        <v>280000</v>
      </c>
      <c r="N23" s="91">
        <f t="shared" si="1"/>
        <v>35000</v>
      </c>
      <c r="O23" s="91">
        <f t="shared" si="1"/>
        <v>2355.54</v>
      </c>
      <c r="P23" s="91">
        <f t="shared" si="1"/>
        <v>8193.2099999999991</v>
      </c>
      <c r="Q23" s="91">
        <f t="shared" si="1"/>
        <v>8260.7999999999993</v>
      </c>
      <c r="R23" s="91">
        <f t="shared" si="1"/>
        <v>2287.9499999999998</v>
      </c>
      <c r="S23" s="3"/>
      <c r="T23" s="3"/>
    </row>
    <row r="24" spans="1:20" ht="15" thickBo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52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I22" sqref="I2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9.140625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4" t="s">
        <v>78</v>
      </c>
      <c r="B1" s="94"/>
      <c r="C1" s="94"/>
      <c r="D1" s="94"/>
      <c r="E1" s="94"/>
      <c r="F1" s="94"/>
      <c r="G1" s="94"/>
      <c r="H1" s="94"/>
      <c r="I1" s="94" t="str">
        <f>Красноборский!H1</f>
        <v>на 1 НОЯБРЯ 2019года</v>
      </c>
      <c r="J1" s="94"/>
      <c r="K1" s="94"/>
      <c r="L1" s="94"/>
      <c r="M1" s="94"/>
      <c r="N1" s="94"/>
      <c r="O1" s="94"/>
      <c r="P1" s="94"/>
      <c r="Q1" s="94"/>
      <c r="R1" s="94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</row>
    <row r="9" spans="1:18" ht="78.7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80" t="s">
        <v>14</v>
      </c>
      <c r="N9" s="80" t="s">
        <v>16</v>
      </c>
      <c r="O9" s="100"/>
      <c r="P9" s="100"/>
      <c r="Q9" s="100"/>
      <c r="R9" s="100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103" t="s">
        <v>20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</row>
    <row r="21" spans="1:18" ht="75">
      <c r="A21" s="33" t="s">
        <v>56</v>
      </c>
      <c r="B21" s="22" t="s">
        <v>57</v>
      </c>
      <c r="C21" s="23" t="s">
        <v>44</v>
      </c>
      <c r="D21" s="44">
        <v>2000000</v>
      </c>
      <c r="E21" s="45">
        <v>43677</v>
      </c>
      <c r="F21" s="26" t="s">
        <v>58</v>
      </c>
      <c r="G21" s="48">
        <v>8.77</v>
      </c>
      <c r="H21" s="27">
        <v>2000000</v>
      </c>
      <c r="I21" s="72">
        <v>43315</v>
      </c>
      <c r="J21" s="28"/>
      <c r="K21" s="28"/>
      <c r="L21" s="29">
        <v>2000000</v>
      </c>
      <c r="M21" s="28">
        <f>H21-L21</f>
        <v>0</v>
      </c>
      <c r="N21" s="28"/>
      <c r="O21" s="28"/>
      <c r="P21" s="48">
        <f>102316.67-1381.65</f>
        <v>100935.02</v>
      </c>
      <c r="Q21" s="48">
        <f>102316.67-1381.65</f>
        <v>100935.02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103" t="s">
        <v>21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2000000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2000000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100935.02</v>
      </c>
      <c r="Q25" s="91">
        <f t="shared" si="1"/>
        <v>100935.02</v>
      </c>
      <c r="R25" s="91">
        <f t="shared" ref="R25" si="2">R19</f>
        <v>0</v>
      </c>
    </row>
    <row r="26" spans="1:18" ht="1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4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73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3"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26" right="0.23" top="0.54" bottom="0.34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opLeftCell="A4" zoomScaleNormal="100" workbookViewId="0">
      <selection activeCell="L16" sqref="L16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13.28515625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4" t="s">
        <v>79</v>
      </c>
      <c r="B1" s="94"/>
      <c r="C1" s="94"/>
      <c r="D1" s="94"/>
      <c r="E1" s="94"/>
      <c r="F1" s="94"/>
      <c r="G1" s="94"/>
      <c r="H1" s="94"/>
      <c r="I1" s="94" t="str">
        <f>район!G3</f>
        <v>на 1 НОЯБРЯ 2019года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  <c r="S8" s="1"/>
      <c r="T8" s="1"/>
    </row>
    <row r="9" spans="1:20" ht="4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5" t="s">
        <v>14</v>
      </c>
      <c r="N9" s="55" t="s">
        <v>16</v>
      </c>
      <c r="O9" s="100"/>
      <c r="P9" s="100"/>
      <c r="Q9" s="100"/>
      <c r="R9" s="100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40</v>
      </c>
      <c r="C16" s="63" t="s">
        <v>37</v>
      </c>
      <c r="D16" s="66">
        <v>836000</v>
      </c>
      <c r="E16" s="67">
        <v>43758</v>
      </c>
      <c r="F16" s="59" t="s">
        <v>41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>
        <v>836000</v>
      </c>
      <c r="O16" s="70">
        <v>8699.89</v>
      </c>
      <c r="P16" s="70">
        <f>1834.24+108.5+9.77+1656.73+65.1+8.53+1834.24+108.5+8.99+1775.07+108.5+9.48+1834.24+130.2+1775.07+1834.24+105+9.63+1834.24+105+9.95+1618.56+4748.8+84.28+1656.73+5852+171.58</f>
        <v>29297.17</v>
      </c>
      <c r="Q16" s="70">
        <f>108.5+8.99+1775.07+1834.24+130.2+1834.24+114.63</f>
        <v>5805.87</v>
      </c>
      <c r="R16" s="49">
        <f>O16+P16-Q16</f>
        <v>32191.19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>N15+N16</f>
        <v>836000</v>
      </c>
      <c r="O17" s="44">
        <f t="shared" si="0"/>
        <v>8699.89</v>
      </c>
      <c r="P17" s="44">
        <f>P15+P16</f>
        <v>29297.17</v>
      </c>
      <c r="Q17" s="44">
        <f t="shared" si="0"/>
        <v>5805.87</v>
      </c>
      <c r="R17" s="44">
        <f t="shared" si="0"/>
        <v>32191.19</v>
      </c>
      <c r="S17" s="3"/>
      <c r="T17" s="3"/>
    </row>
    <row r="18" spans="1:20" ht="15">
      <c r="A18" s="103" t="s">
        <v>20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103" t="s">
        <v>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>N17</f>
        <v>836000</v>
      </c>
      <c r="O23" s="87">
        <f t="shared" si="1"/>
        <v>8699.89</v>
      </c>
      <c r="P23" s="87">
        <f>P17</f>
        <v>29297.17</v>
      </c>
      <c r="Q23" s="87">
        <f t="shared" si="1"/>
        <v>5805.87</v>
      </c>
      <c r="R23" s="87">
        <f t="shared" si="1"/>
        <v>32191.19</v>
      </c>
      <c r="S23" s="3"/>
      <c r="T23" s="3"/>
    </row>
    <row r="24" spans="1:20" ht="15" thickBo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53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71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73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zoomScaleNormal="100" workbookViewId="0">
      <selection activeCell="A17" sqref="A17:R17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63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  <c r="S8" s="1"/>
      <c r="T8" s="1"/>
    </row>
    <row r="9" spans="1:20" ht="4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55" t="s">
        <v>14</v>
      </c>
      <c r="N9" s="55" t="s">
        <v>16</v>
      </c>
      <c r="O9" s="100"/>
      <c r="P9" s="100"/>
      <c r="Q9" s="100"/>
      <c r="R9" s="100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140000</v>
      </c>
      <c r="M15" s="44">
        <f>Шала!M19+Кривцы!M18+Авдеево!M23+Красноборский!M23</f>
        <v>6127500</v>
      </c>
      <c r="N15" s="44">
        <f>Шала!N19+Кривцы!N18+Авдеево!N23+Красноборский!N23</f>
        <v>5882500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220146.72273953995</v>
      </c>
      <c r="Q15" s="44">
        <f>Шала!Q19+Кривцы!Q18+Авдеево!Q23+Красноборский!Q23</f>
        <v>57853.119999999995</v>
      </c>
      <c r="R15" s="44">
        <f>Шала!R19+Кривцы!R18+Авдеево!R23+Красноборский!R23</f>
        <v>268522.11273954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103" t="s">
        <v>20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S17" s="3"/>
      <c r="T17" s="3"/>
    </row>
    <row r="18" spans="1:20" ht="120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100935.02</v>
      </c>
      <c r="Q18" s="48">
        <f>Город!Q21</f>
        <v>100935.02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100935.02</v>
      </c>
      <c r="Q19" s="44">
        <f t="shared" si="0"/>
        <v>100935.02</v>
      </c>
      <c r="R19" s="44">
        <f t="shared" si="0"/>
        <v>0</v>
      </c>
      <c r="S19" s="3"/>
      <c r="T19" s="3"/>
    </row>
    <row r="20" spans="1:20" ht="15">
      <c r="A20" s="103" t="s">
        <v>21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59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140000</v>
      </c>
      <c r="M22" s="87">
        <f t="shared" si="1"/>
        <v>8127500</v>
      </c>
      <c r="N22" s="87">
        <f t="shared" si="1"/>
        <v>5882500</v>
      </c>
      <c r="O22" s="87">
        <f t="shared" si="1"/>
        <v>106228.51000000001</v>
      </c>
      <c r="P22" s="87">
        <f t="shared" si="1"/>
        <v>321081.74273953994</v>
      </c>
      <c r="Q22" s="87">
        <f t="shared" si="1"/>
        <v>158788.14000000001</v>
      </c>
      <c r="R22" s="87">
        <f t="shared" si="1"/>
        <v>268522.11273954</v>
      </c>
      <c r="S22" s="3"/>
      <c r="T22" s="3"/>
    </row>
    <row r="23" spans="1:20" ht="15" thickBot="1">
      <c r="A23" s="112" t="s">
        <v>32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4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60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65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61</v>
      </c>
      <c r="B29" s="37"/>
      <c r="C29" s="37"/>
      <c r="D29" s="36" t="s">
        <v>73</v>
      </c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K16" sqref="K16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97"/>
      <c r="F5" s="97"/>
      <c r="G5" s="97"/>
      <c r="H5" s="97"/>
      <c r="I5" s="97"/>
      <c r="J5" s="97"/>
      <c r="K5" s="97"/>
      <c r="L5" s="97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8" t="s">
        <v>1</v>
      </c>
      <c r="B8" s="99" t="s">
        <v>23</v>
      </c>
      <c r="C8" s="99" t="s">
        <v>11</v>
      </c>
      <c r="D8" s="99" t="s">
        <v>24</v>
      </c>
      <c r="E8" s="99" t="s">
        <v>25</v>
      </c>
      <c r="F8" s="99" t="s">
        <v>7</v>
      </c>
      <c r="G8" s="99" t="s">
        <v>0</v>
      </c>
      <c r="H8" s="99" t="s">
        <v>15</v>
      </c>
      <c r="I8" s="99" t="s">
        <v>8</v>
      </c>
      <c r="J8" s="99" t="s">
        <v>12</v>
      </c>
      <c r="K8" s="99" t="s">
        <v>9</v>
      </c>
      <c r="L8" s="99" t="s">
        <v>13</v>
      </c>
      <c r="M8" s="101" t="s">
        <v>22</v>
      </c>
      <c r="N8" s="102"/>
      <c r="O8" s="99" t="s">
        <v>4</v>
      </c>
      <c r="P8" s="99" t="s">
        <v>19</v>
      </c>
      <c r="Q8" s="99" t="s">
        <v>18</v>
      </c>
      <c r="R8" s="99" t="s">
        <v>17</v>
      </c>
    </row>
    <row r="9" spans="1:18" ht="67.5">
      <c r="A9" s="98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86" t="s">
        <v>14</v>
      </c>
      <c r="N9" s="86" t="s">
        <v>16</v>
      </c>
      <c r="O9" s="100"/>
      <c r="P9" s="100"/>
      <c r="Q9" s="100"/>
      <c r="R9" s="100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7" t="s">
        <v>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103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24512000</v>
      </c>
      <c r="M15" s="44">
        <f>Шала!M19+Кривцы!M18+Авдеево!M23+Красноборский!M23+район!M25</f>
        <v>13734500</v>
      </c>
      <c r="N15" s="44">
        <f>Шала!N19+Кривцы!N18+Авдеево!N23+Красноборский!N23+район!N25</f>
        <v>5882500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548443.31273954001</v>
      </c>
      <c r="Q15" s="44">
        <f>Шала!Q19+Кривцы!Q18+Авдеево!Q23+Красноборский!Q23+район!Q25</f>
        <v>384421.51999999996</v>
      </c>
      <c r="R15" s="44">
        <f>Шала!R19+Кривцы!R18+Авдеево!R23+Красноборский!R23+район!R25</f>
        <v>270250.30273954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103" t="s">
        <v>20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</row>
    <row r="18" spans="1:18" ht="165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>
        <v>2000000</v>
      </c>
      <c r="M18" s="28">
        <f>H18+J18-L18</f>
        <v>0</v>
      </c>
      <c r="N18" s="28"/>
      <c r="O18" s="28"/>
      <c r="P18" s="48">
        <f>102316.67-1381.65</f>
        <v>100935.02</v>
      </c>
      <c r="Q18" s="48">
        <f>102316.67-1381.65</f>
        <v>100935.02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D18+район!D33</f>
        <v>81000000</v>
      </c>
      <c r="E19" s="44">
        <f>E18+район!E33</f>
        <v>0</v>
      </c>
      <c r="F19" s="44">
        <f>F18+район!F33</f>
        <v>0</v>
      </c>
      <c r="G19" s="44">
        <f>G18+район!G33</f>
        <v>0</v>
      </c>
      <c r="H19" s="44">
        <f>H18+район!H33</f>
        <v>46657000</v>
      </c>
      <c r="I19" s="44">
        <f>I18+район!I33</f>
        <v>0</v>
      </c>
      <c r="J19" s="44">
        <f>J18+район!J33</f>
        <v>20000000</v>
      </c>
      <c r="K19" s="44">
        <f>K18+район!K33</f>
        <v>0</v>
      </c>
      <c r="L19" s="44">
        <f>L18+район!L33</f>
        <v>11657000</v>
      </c>
      <c r="M19" s="44">
        <f>M18+район!M33</f>
        <v>55000000</v>
      </c>
      <c r="N19" s="44">
        <f>N18+район!N33</f>
        <v>0</v>
      </c>
      <c r="O19" s="44">
        <f>O18+район!O33</f>
        <v>0</v>
      </c>
      <c r="P19" s="44">
        <f>P18+район!P33</f>
        <v>3360561.4499999997</v>
      </c>
      <c r="Q19" s="44">
        <f>Q18+район!Q33</f>
        <v>3360561.4499999997</v>
      </c>
      <c r="R19" s="44">
        <f>R18+район!R33</f>
        <v>0</v>
      </c>
    </row>
    <row r="20" spans="1:18" ht="14.25">
      <c r="A20" s="103" t="s">
        <v>21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59</v>
      </c>
      <c r="B22" s="22"/>
      <c r="C22" s="23"/>
      <c r="D22" s="44">
        <f>D15+D19</f>
        <v>87726000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20000000</v>
      </c>
      <c r="K22" s="44">
        <f t="shared" si="0"/>
        <v>0</v>
      </c>
      <c r="L22" s="44">
        <f t="shared" si="0"/>
        <v>36169000</v>
      </c>
      <c r="M22" s="44">
        <f t="shared" si="0"/>
        <v>68734500</v>
      </c>
      <c r="N22" s="44">
        <f t="shared" si="0"/>
        <v>5882500</v>
      </c>
      <c r="O22" s="44">
        <f t="shared" si="0"/>
        <v>106228.51000000001</v>
      </c>
      <c r="P22" s="44">
        <f t="shared" si="0"/>
        <v>3909004.7627395396</v>
      </c>
      <c r="Q22" s="44">
        <f t="shared" si="0"/>
        <v>3744982.9699999997</v>
      </c>
      <c r="R22" s="44">
        <f t="shared" si="0"/>
        <v>270250.30273954</v>
      </c>
    </row>
  </sheetData>
  <mergeCells count="23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2019-11-03T09:17:12Z</cp:lastPrinted>
  <dcterms:created xsi:type="dcterms:W3CDTF">2006-06-05T06:40:26Z</dcterms:created>
  <dcterms:modified xsi:type="dcterms:W3CDTF">2019-11-03T09:21:39Z</dcterms:modified>
</cp:coreProperties>
</file>