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1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M45" i="2"/>
  <c r="L45"/>
  <c r="Q18" i="4"/>
  <c r="Q15" i="7" s="1"/>
  <c r="Q43" i="2" l="1"/>
  <c r="O37"/>
  <c r="R36"/>
  <c r="P43"/>
  <c r="Q17" i="4"/>
  <c r="Q45" i="2" l="1"/>
  <c r="P25"/>
  <c r="P19"/>
  <c r="P32"/>
  <c r="P31"/>
  <c r="P30"/>
  <c r="P28"/>
  <c r="P23"/>
  <c r="P22"/>
  <c r="P20"/>
  <c r="Q37"/>
  <c r="J37"/>
  <c r="M36"/>
  <c r="M37" s="1"/>
  <c r="P37" l="1"/>
  <c r="D37" l="1"/>
  <c r="P15" i="5"/>
  <c r="P16" i="6" l="1"/>
  <c r="P18" i="5"/>
  <c r="P17"/>
  <c r="P16"/>
  <c r="P17" i="4"/>
  <c r="P16" i="3"/>
  <c r="P18"/>
  <c r="P17"/>
  <c r="P15"/>
  <c r="R17" i="2" l="1"/>
  <c r="Q34" l="1"/>
  <c r="Q33"/>
  <c r="Q32"/>
  <c r="Q31"/>
  <c r="Q30"/>
  <c r="Q28"/>
  <c r="Q25"/>
  <c r="Q23"/>
  <c r="Q22"/>
  <c r="Q20"/>
  <c r="Q19"/>
  <c r="R44"/>
  <c r="P45"/>
  <c r="R45" s="1"/>
  <c r="M44"/>
  <c r="D45"/>
  <c r="J45"/>
  <c r="L17" i="4"/>
  <c r="Q16" i="6"/>
  <c r="Q18" i="3"/>
  <c r="Q16"/>
  <c r="Q17"/>
  <c r="Q15"/>
  <c r="L37" i="2" l="1"/>
  <c r="R43" l="1"/>
  <c r="M43"/>
  <c r="Q18" i="5" l="1"/>
  <c r="Q17"/>
  <c r="Q16"/>
  <c r="Q15"/>
  <c r="L16"/>
  <c r="L15"/>
  <c r="Q24" i="2" l="1"/>
  <c r="P24"/>
  <c r="R35" l="1"/>
  <c r="H37"/>
  <c r="M35"/>
  <c r="M33" l="1"/>
  <c r="R33"/>
  <c r="R34"/>
  <c r="M16" i="5"/>
  <c r="M18"/>
  <c r="G15" i="7"/>
  <c r="H15"/>
  <c r="I15"/>
  <c r="J15"/>
  <c r="O15"/>
  <c r="D15"/>
  <c r="H23" i="6"/>
  <c r="I23"/>
  <c r="J23"/>
  <c r="K23"/>
  <c r="L23"/>
  <c r="M23"/>
  <c r="N23"/>
  <c r="O23"/>
  <c r="D23"/>
  <c r="R16"/>
  <c r="R17" s="1"/>
  <c r="R23" s="1"/>
  <c r="R15"/>
  <c r="Q15"/>
  <c r="Q17" s="1"/>
  <c r="Q23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N15" i="7" l="1"/>
  <c r="N26" i="3"/>
  <c r="M19"/>
  <c r="M26" s="1"/>
  <c r="P15" i="7"/>
  <c r="P26" i="3"/>
  <c r="Q26"/>
  <c r="R19"/>
  <c r="L24" i="4"/>
  <c r="L15" i="7"/>
  <c r="M17" i="4"/>
  <c r="M18" s="1"/>
  <c r="R15" i="7" l="1"/>
  <c r="R26" i="3"/>
  <c r="M24" i="4"/>
  <c r="M15" i="7"/>
  <c r="Q42" i="2"/>
  <c r="Q41"/>
  <c r="Q40"/>
  <c r="P42"/>
  <c r="P41"/>
  <c r="P40"/>
  <c r="H45"/>
  <c r="J48"/>
  <c r="L48"/>
  <c r="N45"/>
  <c r="O45"/>
  <c r="R40" l="1"/>
  <c r="R42"/>
  <c r="R41"/>
  <c r="R21"/>
  <c r="R26"/>
  <c r="R37" s="1"/>
  <c r="R27"/>
  <c r="R29"/>
  <c r="Q18"/>
  <c r="R28"/>
  <c r="R22"/>
  <c r="P18"/>
  <c r="O48"/>
  <c r="N37"/>
  <c r="N48" s="1"/>
  <c r="M18"/>
  <c r="M19"/>
  <c r="M20"/>
  <c r="M21"/>
  <c r="M22"/>
  <c r="M23"/>
  <c r="M24"/>
  <c r="M25"/>
  <c r="M26"/>
  <c r="M27"/>
  <c r="M28"/>
  <c r="M29"/>
  <c r="M30"/>
  <c r="M31"/>
  <c r="M32"/>
  <c r="M34"/>
  <c r="M17"/>
  <c r="H48"/>
  <c r="D48"/>
  <c r="M48" l="1"/>
  <c r="Q48"/>
  <c r="R23"/>
  <c r="R20"/>
  <c r="R25"/>
  <c r="R32"/>
  <c r="R19"/>
  <c r="R24"/>
  <c r="R31"/>
  <c r="R18"/>
  <c r="R30"/>
  <c r="P48"/>
  <c r="R48" l="1"/>
</calcChain>
</file>

<file path=xl/sharedStrings.xml><?xml version="1.0" encoding="utf-8"?>
<sst xmlns="http://schemas.openxmlformats.org/spreadsheetml/2006/main" count="312" uniqueCount="104">
  <si>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</si>
  <si>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</si>
  <si>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</si>
  <si>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</si>
  <si>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</si>
  <si>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</si>
  <si>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</si>
  <si>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</si>
  <si>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</si>
  <si>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</si>
  <si>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</si>
  <si>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</si>
  <si>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</si>
  <si>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</si>
  <si>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</si>
  <si>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</si>
  <si>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</si>
  <si>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</si>
  <si>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</si>
  <si>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</si>
  <si>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</si>
  <si>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</si>
  <si>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</si>
  <si>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</si>
  <si>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</si>
  <si>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</si>
  <si>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</si>
  <si>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</si>
  <si>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</si>
  <si>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</si>
  <si>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</si>
  <si>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</si>
  <si>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</si>
  <si>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</si>
  <si>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</si>
  <si>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</si>
  <si>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</si>
  <si>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</si>
  <si>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</si>
  <si>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</si>
  <si>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</si>
  <si>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</si>
  <si>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</si>
  <si>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</si>
  <si>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</si>
  <si>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</si>
  <si>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</si>
  <si>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</si>
  <si>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</si>
  <si>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</si>
  <si>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</si>
  <si>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</si>
  <si>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</si>
  <si>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</si>
  <si>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</si>
  <si>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</si>
  <si>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</si>
  <si>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</si>
  <si>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</si>
  <si>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</si>
  <si>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</si>
  <si>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</si>
  <si>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</si>
  <si>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</si>
  <si>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</si>
  <si>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</si>
  <si>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</si>
  <si>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</si>
  <si>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</si>
  <si>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</si>
  <si>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</si>
  <si>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</si>
  <si>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</si>
  <si>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</si>
  <si>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</si>
  <si>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</si>
  <si>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</si>
  <si>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</si>
  <si>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</si>
  <si>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</si>
  <si>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</si>
  <si>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</si>
  <si>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</si>
  <si>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</si>
  <si>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</si>
  <si>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</si>
  <si>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</si>
  <si>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</si>
  <si>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</si>
  <si>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</si>
  <si>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</si>
  <si>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</si>
  <si>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</si>
  <si>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13.11.  2017г</t>
  </si>
  <si>
    <t>Муниципальный контракт  N 0106300008417000059-0226286-01 от 13.11.2017.</t>
  </si>
  <si>
    <t>Информация о долговых обяхательствах  Пудожского муниципального района по состоянию на 1 января  2018года</t>
  </si>
  <si>
    <t>Информация о долговых обязательствах  Шальского сельского поселения на 1 января 2018года</t>
  </si>
  <si>
    <t>Информация о долговых обяхательствах Авдеевского сельского поселения на 1 января  2018года.</t>
  </si>
  <si>
    <t>Информация о долговых обяхательствах Красноборского сельского поселения на 1 января 2018года.</t>
  </si>
  <si>
    <t>Информация о долговых обязательствах  Кривецкого сельского поселения на 1 января 2018года</t>
  </si>
  <si>
    <t>Муниципальный контракт  N 0106300008417000060-0226286-02 от 26.11.2017.</t>
  </si>
  <si>
    <t>АО Банк "Северный морской путь"</t>
  </si>
  <si>
    <t>26.11.  2017г</t>
  </si>
  <si>
    <t>Договор  N13-3/17 от  25.12.2017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</si>
</sst>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view="pageBreakPreview" topLeftCell="A30" zoomScale="60" zoomScaleNormal="100" workbookViewId="0">
      <selection activeCell="A46" sqref="A46:R46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1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7" t="s">
        <v>10</v>
      </c>
      <c r="R1" s="87"/>
    </row>
    <row r="2" spans="1:18" ht="26.25" customHeight="1">
      <c r="Q2" s="87"/>
      <c r="R2" s="87"/>
    </row>
    <row r="3" spans="1:18" ht="21.75" customHeight="1">
      <c r="A3" s="88" t="s">
        <v>95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89"/>
      <c r="F7" s="89"/>
      <c r="G7" s="89"/>
      <c r="H7" s="89"/>
      <c r="I7" s="89"/>
      <c r="J7" s="89"/>
      <c r="K7" s="89"/>
      <c r="L7" s="89"/>
      <c r="M7" s="9"/>
      <c r="N7" s="9"/>
    </row>
    <row r="8" spans="1:18" ht="5.25" customHeight="1"/>
    <row r="9" spans="1:18" ht="15" customHeight="1"/>
    <row r="10" spans="1:18" ht="36.75" customHeight="1">
      <c r="A10" s="90" t="s">
        <v>1</v>
      </c>
      <c r="B10" s="91" t="s">
        <v>24</v>
      </c>
      <c r="C10" s="91" t="s">
        <v>11</v>
      </c>
      <c r="D10" s="91" t="s">
        <v>25</v>
      </c>
      <c r="E10" s="91" t="s">
        <v>26</v>
      </c>
      <c r="F10" s="91" t="s">
        <v>7</v>
      </c>
      <c r="G10" s="91" t="s">
        <v>0</v>
      </c>
      <c r="H10" s="91" t="s">
        <v>16</v>
      </c>
      <c r="I10" s="91" t="s">
        <v>8</v>
      </c>
      <c r="J10" s="91" t="s">
        <v>12</v>
      </c>
      <c r="K10" s="91" t="s">
        <v>9</v>
      </c>
      <c r="L10" s="91" t="s">
        <v>13</v>
      </c>
      <c r="M10" s="93" t="s">
        <v>23</v>
      </c>
      <c r="N10" s="94"/>
      <c r="O10" s="91" t="s">
        <v>4</v>
      </c>
      <c r="P10" s="91" t="s">
        <v>20</v>
      </c>
      <c r="Q10" s="91" t="s">
        <v>19</v>
      </c>
      <c r="R10" s="91" t="s">
        <v>18</v>
      </c>
    </row>
    <row r="11" spans="1:18" s="13" customFormat="1" ht="94.5" customHeight="1">
      <c r="A11" s="90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40" t="s">
        <v>14</v>
      </c>
      <c r="N11" s="40" t="s">
        <v>17</v>
      </c>
      <c r="O11" s="92"/>
      <c r="P11" s="92"/>
      <c r="Q11" s="92"/>
      <c r="R11" s="92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9" t="s">
        <v>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5" t="s">
        <v>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1:18" s="3" customFormat="1" ht="48" customHeight="1">
      <c r="A17" s="86">
        <v>1</v>
      </c>
      <c r="B17" s="22" t="s">
        <v>27</v>
      </c>
      <c r="C17" s="23" t="s">
        <v>43</v>
      </c>
      <c r="D17" s="46">
        <v>5000000</v>
      </c>
      <c r="E17" s="47">
        <v>43814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>
        <v>2100000</v>
      </c>
      <c r="M17" s="49">
        <f>H17+J17-L17</f>
        <v>0</v>
      </c>
      <c r="N17" s="51">
        <v>0</v>
      </c>
      <c r="O17" s="50">
        <v>0</v>
      </c>
      <c r="P17" s="50">
        <v>2042.46</v>
      </c>
      <c r="Q17" s="50">
        <v>2100</v>
      </c>
      <c r="R17" s="51">
        <f>O17+P17-Q17</f>
        <v>-57.539999999999964</v>
      </c>
    </row>
    <row r="18" spans="1:18" s="3" customFormat="1" ht="23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43814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6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19.5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28307.67+3025.81+9382.95+4396.82+4493.04+8729.39+8342.25+8479.56+8479.56+8008.08+7992.4+7522.19+7559.76</f>
        <v>114719.47999999998</v>
      </c>
      <c r="Q19" s="50">
        <f>28230.33+28307.67+3025.81+9382.95+4396.82+4493.04+8729.39+8342.25+8479.56+8479.56+8008.08+7992.4+7522.19</f>
        <v>135390.04999999996</v>
      </c>
      <c r="R19" s="51">
        <f t="shared" ref="R19:R36" si="1">O19+P19-Q19</f>
        <v>7559.7600000000384</v>
      </c>
    </row>
    <row r="20" spans="1:18" s="3" customFormat="1" ht="23.25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15416.36+9870.07+11971.16+11342.05+11137.32+10643.39+10818.58+10818.58+10217.04+10197.03+9597.12+9645.05</f>
        <v>131673.75</v>
      </c>
      <c r="Q20" s="50">
        <f>15374.24+15416.36+9870.07+11971.16+11342.05+11137.32+10643.39+10818.58+10818.58+10217.04+10197.03+9597.12</f>
        <v>137402.94</v>
      </c>
      <c r="R20" s="51">
        <f t="shared" si="1"/>
        <v>9645.0499999999884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8492.3+2602.48+4229.1+4006.85+3934.52+3760.03+3821.92+3821.92+3609.41+3602.35+3390.41+3407.34</f>
        <v>48678.62999999999</v>
      </c>
      <c r="Q22" s="50">
        <f>8469.1+8492.3+2602.48+4229.1+4006.85+3934.52+3760.03+3821.92+3821.92+3609.41+3602.35+3390.41</f>
        <v>53740.39</v>
      </c>
      <c r="R22" s="51">
        <f t="shared" si="1"/>
        <v>3407.3399999999892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22755.72+25193.83+25092.64+23773.97+23344.83+22309.49+22676.71+22676.71+21415.84+21373.9+20116.44+20216.9</f>
        <v>270946.98</v>
      </c>
      <c r="Q23" s="50">
        <f>22755.72+25124.99+25193.83+25092.64+23773.97+23344.83+22309.49+22676.71+22676.71+21415.84+21373.9+20116.44</f>
        <v>275855.06999999995</v>
      </c>
      <c r="R23" s="51">
        <f t="shared" si="1"/>
        <v>20216.900000000023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8492.3-2465.51</f>
        <v>6026.7899999999991</v>
      </c>
      <c r="Q24" s="50">
        <f>8469.1+8492.3-2465.51</f>
        <v>14495.890000000001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>
        <v>5000000</v>
      </c>
      <c r="M25" s="49">
        <f t="shared" si="0"/>
        <v>0</v>
      </c>
      <c r="N25" s="51">
        <v>0</v>
      </c>
      <c r="O25" s="50">
        <v>14115.16</v>
      </c>
      <c r="P25" s="50">
        <f>14153.84+12784.11+14096.99+13356.16+13115.07+12533.43+12739.73+12739.73+12031.37+12007.8+11301.37+7819.45</f>
        <v>148679.05000000002</v>
      </c>
      <c r="Q25" s="50">
        <f>14115.16+14153.84+12784.11+14096.99+13356.16+13115.07+12533.43+12739.73+12739.73+12031.37+12007.8+11301.37</f>
        <v>154974.75999999995</v>
      </c>
      <c r="R25" s="51">
        <f t="shared" si="1"/>
        <v>7819.4500000000698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>
        <v>43814</v>
      </c>
      <c r="F26" s="48" t="s">
        <v>44</v>
      </c>
      <c r="G26" s="43">
        <v>2.75</v>
      </c>
      <c r="H26" s="28">
        <v>350000</v>
      </c>
      <c r="I26" s="22"/>
      <c r="J26" s="43"/>
      <c r="K26" s="43"/>
      <c r="L26" s="43">
        <v>350000</v>
      </c>
      <c r="M26" s="49">
        <f t="shared" si="0"/>
        <v>0</v>
      </c>
      <c r="N26" s="51">
        <v>0</v>
      </c>
      <c r="O26" s="50">
        <v>0</v>
      </c>
      <c r="P26" s="50">
        <v>340.41</v>
      </c>
      <c r="Q26" s="50">
        <v>350</v>
      </c>
      <c r="R26" s="51">
        <f t="shared" si="1"/>
        <v>-9.589999999999975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>
        <v>43814</v>
      </c>
      <c r="F27" s="48" t="s">
        <v>44</v>
      </c>
      <c r="G27" s="43">
        <v>2.75</v>
      </c>
      <c r="H27" s="28">
        <v>1554000</v>
      </c>
      <c r="I27" s="22"/>
      <c r="J27" s="43"/>
      <c r="K27" s="43"/>
      <c r="L27" s="43">
        <v>1554000</v>
      </c>
      <c r="M27" s="49">
        <f t="shared" si="0"/>
        <v>0</v>
      </c>
      <c r="N27" s="51">
        <v>0</v>
      </c>
      <c r="O27" s="50">
        <v>0</v>
      </c>
      <c r="P27" s="50">
        <v>1511.43</v>
      </c>
      <c r="Q27" s="50">
        <v>1554</v>
      </c>
      <c r="R27" s="51">
        <f t="shared" si="1"/>
        <v>-42.569999999999936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48575.96+39313.87+44574.67+42232.19+41469.85+39630.68+40283.01+40283.01+38043.19+37968.69+35734.93+35913.39</f>
        <v>484023.44</v>
      </c>
      <c r="Q28" s="50">
        <f>48443.24+48575.96+39313.87+44574.67+42232.19+41469.85+39630.68+40283.01+40283.01+38043.19+37968.69+35734.93</f>
        <v>496553.29</v>
      </c>
      <c r="R28" s="51">
        <f t="shared" si="1"/>
        <v>35913.390000000072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>
        <v>3575000</v>
      </c>
      <c r="M30" s="49">
        <f t="shared" si="0"/>
        <v>0</v>
      </c>
      <c r="N30" s="51">
        <v>0</v>
      </c>
      <c r="O30" s="50">
        <v>10092.34</v>
      </c>
      <c r="P30" s="50">
        <f>10119.99+9140.64+10079.35+9549.66+9377.27+8961.4+9108.9+9108.9+8602.43+8585.58+8080.48+5590.91</f>
        <v>106305.51000000001</v>
      </c>
      <c r="Q30" s="50">
        <f>10092.34+10119.99+9140.64+10079.35+9549.66+9377.27+8961.4+9108.9+9108.9+8602.43+8585.58+8080.48</f>
        <v>110806.93999999997</v>
      </c>
      <c r="R30" s="51">
        <f t="shared" si="1"/>
        <v>5590.9100000000326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42461.51+21459.04+28193.97+26712.33+26230.14+25066.85+25479.45+25479.45+24062.74+24015.62+22602.74+22715.62</f>
        <v>314479.46000000002</v>
      </c>
      <c r="Q31" s="50">
        <f>17757.79+42461.51+21459.04+28193.97+26712.33+26230.14+25066.85+25479.45+25479.45+24062.74+24015.62+22602.74</f>
        <v>309521.63000000006</v>
      </c>
      <c r="R31" s="51">
        <f t="shared" si="1"/>
        <v>22715.619999999937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14153.84+8162.11+10240.05+9701.92+9526.79+9104.28+9254.14+9254.14+8739.59+8722.47+8209.32+8250.32</f>
        <v>113318.97</v>
      </c>
      <c r="Q32" s="50">
        <f>2731.97+14153.84+8162.11+10240.05+9701.92+9526.79+9104.28+9254.14+9254.14+8739.59+8722.47+8209.32</f>
        <v>107800.62</v>
      </c>
      <c r="R32" s="51">
        <f t="shared" si="1"/>
        <v>8250.320000000007</v>
      </c>
    </row>
    <row r="33" spans="1:18" s="3" customFormat="1" ht="32.25" customHeight="1">
      <c r="A33" s="77">
        <v>16</v>
      </c>
      <c r="B33" s="22" t="s">
        <v>83</v>
      </c>
      <c r="C33" s="23" t="s">
        <v>43</v>
      </c>
      <c r="D33" s="46" t="s">
        <v>85</v>
      </c>
      <c r="E33" s="47">
        <v>44545</v>
      </c>
      <c r="F33" s="48" t="s">
        <v>44</v>
      </c>
      <c r="G33" s="77">
        <v>2.75</v>
      </c>
      <c r="H33" s="28"/>
      <c r="I33" s="22"/>
      <c r="J33" s="51">
        <v>22440000</v>
      </c>
      <c r="K33" s="77"/>
      <c r="L33" s="77">
        <v>22440000</v>
      </c>
      <c r="M33" s="49">
        <f t="shared" si="0"/>
        <v>0</v>
      </c>
      <c r="N33" s="51">
        <v>0</v>
      </c>
      <c r="O33" s="50"/>
      <c r="P33" s="50">
        <v>20472.66</v>
      </c>
      <c r="Q33" s="50">
        <f>9775.23+11312.22</f>
        <v>21087.449999999997</v>
      </c>
      <c r="R33" s="51">
        <f t="shared" si="1"/>
        <v>-614.78999999999724</v>
      </c>
    </row>
    <row r="34" spans="1:18" s="3" customFormat="1" ht="21.75" customHeight="1">
      <c r="A34" s="78">
        <v>17</v>
      </c>
      <c r="B34" s="22" t="s">
        <v>84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79">
        <v>42894</v>
      </c>
      <c r="J34" s="50">
        <v>15000000</v>
      </c>
      <c r="K34" s="28"/>
      <c r="L34" s="28">
        <v>7253000</v>
      </c>
      <c r="M34" s="49">
        <f t="shared" si="0"/>
        <v>7747000</v>
      </c>
      <c r="N34" s="28">
        <v>0</v>
      </c>
      <c r="O34" s="28"/>
      <c r="P34" s="50">
        <v>223729.46</v>
      </c>
      <c r="Q34" s="50">
        <f>12328.77+217494.25</f>
        <v>229823.02</v>
      </c>
      <c r="R34" s="51">
        <f t="shared" si="1"/>
        <v>-6093.5599999999977</v>
      </c>
    </row>
    <row r="35" spans="1:18" s="3" customFormat="1" ht="21.75" customHeight="1">
      <c r="A35" s="78">
        <v>18</v>
      </c>
      <c r="B35" s="22" t="s">
        <v>89</v>
      </c>
      <c r="C35" s="23" t="s">
        <v>43</v>
      </c>
      <c r="D35" s="46">
        <v>1800000</v>
      </c>
      <c r="E35" s="67">
        <v>44185</v>
      </c>
      <c r="F35" s="48" t="s">
        <v>44</v>
      </c>
      <c r="G35" s="50">
        <v>2.75</v>
      </c>
      <c r="H35" s="28"/>
      <c r="I35" s="79">
        <v>42958</v>
      </c>
      <c r="J35" s="50">
        <v>1800000</v>
      </c>
      <c r="K35" s="28"/>
      <c r="L35" s="28"/>
      <c r="M35" s="49">
        <f t="shared" si="0"/>
        <v>1800000</v>
      </c>
      <c r="N35" s="28"/>
      <c r="O35" s="28"/>
      <c r="P35" s="50">
        <v>19474.419999999998</v>
      </c>
      <c r="Q35" s="50">
        <v>19589.72</v>
      </c>
      <c r="R35" s="51">
        <f t="shared" si="1"/>
        <v>-115.30000000000291</v>
      </c>
    </row>
    <row r="36" spans="1:18" s="3" customFormat="1" ht="29.25" customHeight="1">
      <c r="A36" s="78">
        <v>19</v>
      </c>
      <c r="B36" s="22" t="s">
        <v>103</v>
      </c>
      <c r="C36" s="23" t="s">
        <v>43</v>
      </c>
      <c r="D36" s="46">
        <v>8200000</v>
      </c>
      <c r="E36" s="67">
        <v>44189</v>
      </c>
      <c r="F36" s="48" t="s">
        <v>44</v>
      </c>
      <c r="G36" s="50">
        <v>2.75</v>
      </c>
      <c r="H36" s="28"/>
      <c r="I36" s="79">
        <v>43095</v>
      </c>
      <c r="J36" s="50">
        <v>8200000</v>
      </c>
      <c r="K36" s="28"/>
      <c r="L36" s="28"/>
      <c r="M36" s="49">
        <f t="shared" si="0"/>
        <v>8200000</v>
      </c>
      <c r="N36" s="28"/>
      <c r="O36" s="28"/>
      <c r="P36" s="50">
        <v>3481.74</v>
      </c>
      <c r="Q36" s="28"/>
      <c r="R36" s="51">
        <f t="shared" si="1"/>
        <v>3481.74</v>
      </c>
    </row>
    <row r="37" spans="1:18" s="3" customFormat="1" ht="18.75" customHeight="1">
      <c r="A37" s="45" t="s">
        <v>2</v>
      </c>
      <c r="B37" s="22"/>
      <c r="C37" s="23"/>
      <c r="D37" s="46">
        <f>D17+D18+D19+D20+D22+D23+D24+D25+D26+D27+D28+D29+D30+D31+D32+D34+D35+D36</f>
        <v>113539000</v>
      </c>
      <c r="E37" s="26"/>
      <c r="F37" s="48"/>
      <c r="G37" s="28"/>
      <c r="H37" s="28">
        <f>H17+H18+H19+H20+H22+H23+H24+H25+H26+H27+H28+H29+H30+H31+H32</f>
        <v>82435000</v>
      </c>
      <c r="I37" s="79"/>
      <c r="J37" s="50">
        <f>J17+J18+J19+J20+J22+J23+J24+J25+J26+J27+J28+J29+J30+J31+J32+J33+J34+J35+J36</f>
        <v>25000000</v>
      </c>
      <c r="K37" s="50"/>
      <c r="L37" s="50">
        <f t="shared" ref="L37" si="2">L17+L18+L19+L20+L22+L23+L24+L25+L26+L27+L28+L29+L30+L31+L32+L33+L34+L35</f>
        <v>42272000</v>
      </c>
      <c r="M37" s="28">
        <f>M17+M18+M19+M20+M22+M23+M24+M25+M26+M27+M28+M29+M30+M31+M32+M33+M34+M35+M36</f>
        <v>65163000</v>
      </c>
      <c r="N37" s="28">
        <f>N17+N18+N19+N20+N22+N23+N24+N25+N26+N27+N28+N29+N30+N31+N32</f>
        <v>0</v>
      </c>
      <c r="O37" s="50">
        <f>O17+O18+O19+O20+O22+O23+O24+O25+O26+O27+O28+O29+O30+O31+O32+O34+O35+O36+O33</f>
        <v>199284.36000000002</v>
      </c>
      <c r="P37" s="50">
        <f>P17+P18+P19+P20+P22+P23+P24+P25+P26+P27+P28+P29+P30+P31+P32+P33+P34+P35+P36</f>
        <v>2014625.63</v>
      </c>
      <c r="Q37" s="50">
        <f>Q17+Q18+Q19+Q20+Q22+Q23+Q24+Q25+Q26+Q27+Q28+Q29+Q30+Q31+Q32+Q33+Q34+Q35+Q36</f>
        <v>2096242.8599999999</v>
      </c>
      <c r="R37" s="50">
        <f>R17+R18+R19+R20+R22+R23+R24+R25+R26+R27+R28+R29+R30+R31+R32++R33+R34+R35+R36</f>
        <v>117667.13000000016</v>
      </c>
    </row>
    <row r="38" spans="1:18" s="3" customFormat="1" ht="18.75" customHeight="1">
      <c r="A38" s="80"/>
      <c r="B38" s="23"/>
      <c r="C38" s="23"/>
      <c r="D38" s="81"/>
      <c r="E38" s="25"/>
      <c r="F38" s="25"/>
      <c r="G38" s="27"/>
      <c r="H38" s="27"/>
      <c r="I38" s="82"/>
      <c r="J38" s="58"/>
      <c r="K38" s="27"/>
      <c r="L38" s="27"/>
      <c r="M38" s="27"/>
      <c r="N38" s="27"/>
      <c r="O38" s="58"/>
      <c r="P38" s="58"/>
      <c r="Q38" s="58"/>
      <c r="R38" s="58"/>
    </row>
    <row r="39" spans="1:18" s="3" customFormat="1" ht="31.5" customHeight="1">
      <c r="A39" s="95" t="s">
        <v>21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7"/>
    </row>
    <row r="40" spans="1:18" s="3" customFormat="1" ht="31.5" customHeight="1">
      <c r="A40" s="42">
        <v>1</v>
      </c>
      <c r="B40" s="22" t="s">
        <v>45</v>
      </c>
      <c r="C40" s="23" t="s">
        <v>48</v>
      </c>
      <c r="D40" s="51">
        <v>11000000</v>
      </c>
      <c r="E40" s="47">
        <v>42944</v>
      </c>
      <c r="F40" s="48" t="s">
        <v>44</v>
      </c>
      <c r="G40" s="43">
        <v>15.8</v>
      </c>
      <c r="H40" s="51">
        <v>10000000</v>
      </c>
      <c r="I40" s="43"/>
      <c r="J40" s="43"/>
      <c r="K40" s="66" t="s">
        <v>53</v>
      </c>
      <c r="L40" s="51">
        <v>10000000</v>
      </c>
      <c r="M40" s="51">
        <v>0</v>
      </c>
      <c r="N40" s="51">
        <v>0</v>
      </c>
      <c r="O40" s="51">
        <v>0</v>
      </c>
      <c r="P40" s="50">
        <f>134191.78+121205.48+12986.3</f>
        <v>268383.56</v>
      </c>
      <c r="Q40" s="50">
        <f>134191.78+121205.48+12986.3</f>
        <v>268383.56</v>
      </c>
      <c r="R40" s="51">
        <f>M40+P40-Q40</f>
        <v>0</v>
      </c>
    </row>
    <row r="41" spans="1:18" s="3" customFormat="1" ht="31.5" customHeight="1" thickBot="1">
      <c r="A41" s="41">
        <v>2</v>
      </c>
      <c r="B41" s="22" t="s">
        <v>46</v>
      </c>
      <c r="C41" s="23" t="s">
        <v>48</v>
      </c>
      <c r="D41" s="51">
        <v>8000000</v>
      </c>
      <c r="E41" s="47">
        <v>43075</v>
      </c>
      <c r="F41" s="48" t="s">
        <v>44</v>
      </c>
      <c r="G41" s="43">
        <v>13.47</v>
      </c>
      <c r="H41" s="51">
        <v>8000000</v>
      </c>
      <c r="I41" s="43"/>
      <c r="J41" s="43"/>
      <c r="K41" s="63" t="s">
        <v>53</v>
      </c>
      <c r="L41" s="51">
        <v>8000000</v>
      </c>
      <c r="M41" s="51">
        <v>0</v>
      </c>
      <c r="N41" s="51">
        <v>0</v>
      </c>
      <c r="O41" s="51">
        <v>0</v>
      </c>
      <c r="P41" s="50">
        <f>91540.54+82681.78+8858.76</f>
        <v>183081.08000000002</v>
      </c>
      <c r="Q41" s="50">
        <f>91540.54+82681.78+8858.76</f>
        <v>183081.08000000002</v>
      </c>
      <c r="R41" s="51">
        <f t="shared" ref="R41:R42" si="3">M41+P41-Q41</f>
        <v>0</v>
      </c>
    </row>
    <row r="42" spans="1:18" s="3" customFormat="1" ht="32.25" customHeight="1" thickBot="1">
      <c r="A42" s="33">
        <v>3</v>
      </c>
      <c r="B42" s="22" t="s">
        <v>47</v>
      </c>
      <c r="C42" s="23" t="s">
        <v>49</v>
      </c>
      <c r="D42" s="46">
        <v>10000000</v>
      </c>
      <c r="E42" s="47">
        <v>43283</v>
      </c>
      <c r="F42" s="48" t="s">
        <v>44</v>
      </c>
      <c r="G42" s="28">
        <v>16.03</v>
      </c>
      <c r="H42" s="58">
        <v>10000000</v>
      </c>
      <c r="I42" s="28"/>
      <c r="J42" s="62"/>
      <c r="K42" s="65" t="s">
        <v>54</v>
      </c>
      <c r="L42" s="59">
        <v>10000000</v>
      </c>
      <c r="M42" s="51">
        <v>0</v>
      </c>
      <c r="N42" s="51">
        <v>0</v>
      </c>
      <c r="O42" s="51">
        <v>0</v>
      </c>
      <c r="P42" s="50">
        <f>136145.21+122969.86+4391.78</f>
        <v>263506.85000000003</v>
      </c>
      <c r="Q42" s="50">
        <f>136145.21+122969.86+4391.78</f>
        <v>263506.85000000003</v>
      </c>
      <c r="R42" s="51">
        <f t="shared" si="3"/>
        <v>0</v>
      </c>
    </row>
    <row r="43" spans="1:18" s="3" customFormat="1" ht="32.25" customHeight="1">
      <c r="A43" s="83">
        <v>4</v>
      </c>
      <c r="B43" s="22" t="s">
        <v>94</v>
      </c>
      <c r="C43" s="23" t="s">
        <v>92</v>
      </c>
      <c r="D43" s="46">
        <v>15000000</v>
      </c>
      <c r="E43" s="47">
        <v>44117</v>
      </c>
      <c r="F43" s="48" t="s">
        <v>44</v>
      </c>
      <c r="G43" s="84">
        <v>10.183999999999999</v>
      </c>
      <c r="H43" s="50"/>
      <c r="I43" s="58" t="s">
        <v>93</v>
      </c>
      <c r="J43" s="62">
        <v>15000000</v>
      </c>
      <c r="K43" s="28"/>
      <c r="L43" s="59">
        <v>620000</v>
      </c>
      <c r="M43" s="51">
        <f>J43-L43</f>
        <v>14380000</v>
      </c>
      <c r="N43" s="51"/>
      <c r="O43" s="51"/>
      <c r="P43" s="50">
        <f>66963.29+127665.5</f>
        <v>194628.78999999998</v>
      </c>
      <c r="Q43" s="50">
        <f>66963.29+127665.5</f>
        <v>194628.78999999998</v>
      </c>
      <c r="R43" s="51">
        <f t="shared" ref="R43:R45" si="4">O43+P43-Q43</f>
        <v>0</v>
      </c>
    </row>
    <row r="44" spans="1:18" s="3" customFormat="1" ht="49.5" customHeight="1">
      <c r="A44" s="83"/>
      <c r="B44" s="22" t="s">
        <v>100</v>
      </c>
      <c r="C44" s="23" t="s">
        <v>101</v>
      </c>
      <c r="D44" s="46">
        <v>9000000</v>
      </c>
      <c r="E44" s="47">
        <v>44130</v>
      </c>
      <c r="F44" s="48" t="s">
        <v>44</v>
      </c>
      <c r="G44" s="84">
        <v>13.2</v>
      </c>
      <c r="H44" s="50"/>
      <c r="I44" s="58" t="s">
        <v>102</v>
      </c>
      <c r="J44" s="62">
        <v>9000000</v>
      </c>
      <c r="K44" s="85"/>
      <c r="L44" s="59">
        <v>0</v>
      </c>
      <c r="M44" s="51">
        <f>J44-L44</f>
        <v>9000000</v>
      </c>
      <c r="N44" s="51"/>
      <c r="O44" s="51"/>
      <c r="P44" s="50">
        <v>84624.66</v>
      </c>
      <c r="Q44" s="50">
        <v>84624.66</v>
      </c>
      <c r="R44" s="51">
        <f t="shared" si="4"/>
        <v>0</v>
      </c>
    </row>
    <row r="45" spans="1:18" s="3" customFormat="1" ht="18.75" customHeight="1">
      <c r="A45" s="35" t="s">
        <v>2</v>
      </c>
      <c r="B45" s="22"/>
      <c r="C45" s="23"/>
      <c r="D45" s="46">
        <f>D40+D41+D42+D43+D44</f>
        <v>53000000</v>
      </c>
      <c r="E45" s="46"/>
      <c r="F45" s="46"/>
      <c r="G45" s="46"/>
      <c r="H45" s="46">
        <f t="shared" ref="H45:N45" si="5">H40+H41+H42</f>
        <v>28000000</v>
      </c>
      <c r="I45" s="46"/>
      <c r="J45" s="46">
        <f>J43+J44</f>
        <v>24000000</v>
      </c>
      <c r="K45" s="64"/>
      <c r="L45" s="46">
        <f>L40+L41+L42+L44+L43</f>
        <v>28620000</v>
      </c>
      <c r="M45" s="46">
        <f>M43+M44</f>
        <v>23380000</v>
      </c>
      <c r="N45" s="46">
        <f t="shared" si="5"/>
        <v>0</v>
      </c>
      <c r="O45" s="46">
        <f>O40+O41+O42</f>
        <v>0</v>
      </c>
      <c r="P45" s="46">
        <f>P40+P41+P42+P43+P44</f>
        <v>994224.94000000006</v>
      </c>
      <c r="Q45" s="46">
        <f>Q40+Q41+Q42+Q43+Q44</f>
        <v>994224.94000000006</v>
      </c>
      <c r="R45" s="51">
        <f t="shared" si="4"/>
        <v>0</v>
      </c>
    </row>
    <row r="46" spans="1:18" s="3" customFormat="1" ht="0.75" customHeight="1">
      <c r="A46" s="95" t="s">
        <v>22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</row>
    <row r="47" spans="1:18" s="3" customFormat="1" ht="8.25" hidden="1" customHeight="1">
      <c r="A47" s="33"/>
      <c r="B47" s="22"/>
      <c r="C47" s="23"/>
      <c r="D47" s="24"/>
      <c r="E47" s="25"/>
      <c r="F47" s="26"/>
      <c r="G47" s="28"/>
      <c r="H47" s="27"/>
      <c r="I47" s="28"/>
      <c r="J47" s="28"/>
      <c r="K47" s="28"/>
      <c r="L47" s="29"/>
      <c r="M47" s="28"/>
      <c r="N47" s="28"/>
      <c r="O47" s="28"/>
      <c r="P47" s="28"/>
      <c r="Q47" s="28"/>
      <c r="R47" s="34"/>
    </row>
    <row r="48" spans="1:18" s="3" customFormat="1" ht="18.75" customHeight="1">
      <c r="A48" s="35" t="s">
        <v>52</v>
      </c>
      <c r="B48" s="22"/>
      <c r="C48" s="23"/>
      <c r="D48" s="46">
        <f>D37+D45</f>
        <v>166539000</v>
      </c>
      <c r="E48" s="46"/>
      <c r="F48" s="46"/>
      <c r="G48" s="46"/>
      <c r="H48" s="46">
        <f t="shared" ref="H48:R48" si="6">H37+H45</f>
        <v>110435000</v>
      </c>
      <c r="I48" s="46"/>
      <c r="J48" s="46">
        <f t="shared" si="6"/>
        <v>49000000</v>
      </c>
      <c r="K48" s="46"/>
      <c r="L48" s="46">
        <f t="shared" si="6"/>
        <v>70892000</v>
      </c>
      <c r="M48" s="46">
        <f t="shared" si="6"/>
        <v>88543000</v>
      </c>
      <c r="N48" s="46">
        <f t="shared" si="6"/>
        <v>0</v>
      </c>
      <c r="O48" s="46">
        <f t="shared" si="6"/>
        <v>199284.36000000002</v>
      </c>
      <c r="P48" s="46">
        <f t="shared" si="6"/>
        <v>3008850.57</v>
      </c>
      <c r="Q48" s="46">
        <f t="shared" si="6"/>
        <v>3090467.8</v>
      </c>
      <c r="R48" s="46">
        <f t="shared" si="6"/>
        <v>117667.13000000016</v>
      </c>
    </row>
    <row r="49" spans="1:18" s="19" customFormat="1" ht="33" hidden="1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1:18" ht="10.5" customHeight="1">
      <c r="A50" s="14"/>
      <c r="B50" s="15"/>
      <c r="C50" s="15"/>
      <c r="D50" s="16"/>
      <c r="E50" s="18"/>
      <c r="F50" s="18"/>
      <c r="G50" s="20"/>
      <c r="H50" s="20"/>
      <c r="I50" s="21"/>
      <c r="J50" s="21"/>
      <c r="K50" s="21"/>
      <c r="L50" s="21"/>
      <c r="M50" s="20"/>
      <c r="N50" s="20"/>
      <c r="O50" s="20"/>
      <c r="P50" s="20"/>
      <c r="Q50" s="20"/>
      <c r="R50" s="20"/>
    </row>
    <row r="51" spans="1:18">
      <c r="A51" s="36" t="s">
        <v>73</v>
      </c>
      <c r="B51" s="37"/>
      <c r="C51" s="37"/>
      <c r="D51" s="38"/>
      <c r="E51" s="39"/>
      <c r="F51" s="39"/>
      <c r="H51" s="36"/>
      <c r="I51" s="36"/>
    </row>
    <row r="53" spans="1:18">
      <c r="A53" s="36" t="s">
        <v>50</v>
      </c>
      <c r="B53" s="37"/>
      <c r="C53" s="37"/>
      <c r="D53" s="38"/>
      <c r="E53" s="39"/>
      <c r="F53" s="39"/>
      <c r="H53" s="36"/>
      <c r="I53" s="36"/>
    </row>
    <row r="55" spans="1:18">
      <c r="A55" s="36" t="s">
        <v>51</v>
      </c>
      <c r="B55" s="37"/>
      <c r="C55" s="37"/>
      <c r="D55" s="38"/>
      <c r="E55" s="39"/>
      <c r="F55" s="39"/>
      <c r="H55" s="36"/>
      <c r="I55" s="36"/>
    </row>
    <row r="59" spans="1:18">
      <c r="A59" s="36"/>
      <c r="B59" s="37"/>
      <c r="C59" s="37"/>
      <c r="D59" s="38"/>
      <c r="E59" s="39"/>
      <c r="F59" s="39"/>
      <c r="H59" s="36"/>
      <c r="I59" s="36"/>
    </row>
    <row r="70" spans="2:2" ht="16.5" customHeight="1"/>
    <row r="71" spans="2:2" ht="30" customHeight="1">
      <c r="B71" s="17"/>
    </row>
  </sheetData>
  <mergeCells count="25">
    <mergeCell ref="A46:R46"/>
    <mergeCell ref="A49:R49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9:R39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51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tabSelected="1" view="pageBreakPreview" topLeftCell="A18" zoomScale="60" zoomScaleNormal="100" workbookViewId="0">
      <selection activeCell="L26" sqref="L26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88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4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69</v>
      </c>
      <c r="G15" s="50">
        <f>8.25*1/3</f>
        <v>2.75</v>
      </c>
      <c r="H15" s="28">
        <v>500000</v>
      </c>
      <c r="I15" s="43"/>
      <c r="J15" s="43"/>
      <c r="K15" s="43"/>
      <c r="L15" s="51">
        <v>5000</v>
      </c>
      <c r="M15" s="51">
        <f>H15+J15-L15</f>
        <v>495000</v>
      </c>
      <c r="N15" s="51">
        <v>495000</v>
      </c>
      <c r="O15" s="50">
        <v>2943.64</v>
      </c>
      <c r="P15" s="50">
        <f>1415.53+1278.54+40.6+17+2027.4+39.81+34+1335.62+50.62+27.63+1309.36+56.74+26.21+1267.12+20.97+1309.36+8.34+40.7+1309.36+17.14+40.7+1267.12+24.75+33.92+1203.2+7.18+37.4+1130.14+6.62+30.25+1161.03+28.05</f>
        <v>16602.410000000003</v>
      </c>
      <c r="Q15" s="50">
        <f>8.86+10593.84+5339.48+1247.78+1167.01</f>
        <v>18356.969999999998</v>
      </c>
      <c r="R15" s="51">
        <f>O15+P15-Q15</f>
        <v>1189.0800000000054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69</v>
      </c>
      <c r="G16" s="50">
        <v>2.75</v>
      </c>
      <c r="H16" s="28">
        <v>1361500</v>
      </c>
      <c r="I16" s="43"/>
      <c r="J16" s="43"/>
      <c r="K16" s="43"/>
      <c r="L16" s="51">
        <v>5000</v>
      </c>
      <c r="M16" s="51">
        <f t="shared" ref="M16:M18" si="0">H16+J16-L16</f>
        <v>1356500</v>
      </c>
      <c r="N16" s="43"/>
      <c r="O16" s="50">
        <v>36809.01</v>
      </c>
      <c r="P16" s="50">
        <f>3854.47+3481.46+36+379.53+3842.04+72+311.92+3636.88+58.5+317.11+3565.39+55.5+325.59+3450.38+55.5+316.54+3565.39+66.6+253.31+3565.39+66.6+382.28+3450.38+55.5+388.83+3276.3+61.2+19.55+3077.36+49.5+18.02+3173.16+59.4</f>
        <v>45287.579999999994</v>
      </c>
      <c r="Q16" s="50">
        <f>3565.39+1556.15+292.61+3074.71+20000+24004.34+27018.12-647.29</f>
        <v>78864.03</v>
      </c>
      <c r="R16" s="51">
        <f t="shared" ref="R16:R18" si="1">O16+P16-Q16</f>
        <v>3232.5599999999977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69</v>
      </c>
      <c r="G17" s="50">
        <v>2.75</v>
      </c>
      <c r="H17" s="28">
        <v>1750000</v>
      </c>
      <c r="I17" s="43"/>
      <c r="J17" s="43"/>
      <c r="K17" s="43"/>
      <c r="L17" s="51">
        <v>5000</v>
      </c>
      <c r="M17" s="51">
        <f t="shared" si="0"/>
        <v>1745000</v>
      </c>
      <c r="N17" s="43"/>
      <c r="O17" s="50">
        <v>19578.36</v>
      </c>
      <c r="P17" s="50">
        <f>4954.34+4474.89+10+182.73+4938.36+16.67+169.72+4674.66+97.5+190.91+4582.76+18.5+211.73+4434.93+15.42+212.5+4582.76+18.5+357.12+4582.76+18.5+285.42+4434.93+15.42+301.96+4211.19+17+25.13+3955.48+13.75+23.16+3423.18+8.25</f>
        <v>55460.130000000005</v>
      </c>
      <c r="Q17" s="50">
        <f>4954.34+3790+897.76+2122.6+20000+24253.32+15589.04</f>
        <v>71607.06</v>
      </c>
      <c r="R17" s="51">
        <f t="shared" si="1"/>
        <v>3431.4300000000076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69</v>
      </c>
      <c r="G18" s="50">
        <v>2.75</v>
      </c>
      <c r="H18" s="28">
        <v>1420000</v>
      </c>
      <c r="I18" s="43"/>
      <c r="J18" s="43"/>
      <c r="K18" s="43"/>
      <c r="L18" s="51">
        <v>5000</v>
      </c>
      <c r="M18" s="51">
        <f t="shared" si="0"/>
        <v>1415000</v>
      </c>
      <c r="N18" s="43"/>
      <c r="O18" s="50">
        <v>11174.12</v>
      </c>
      <c r="P18" s="50">
        <f>4020.09+3631.05+141.61+4007.12+132.62+3793.15+150.05+3718.58+166.67+3598.63+164.06+3718.58+196.62+3718.58+221.97+3598.63+235.7+3417.08+216.59+3209.59+19.36+3316.58</f>
        <v>45392.909999999989</v>
      </c>
      <c r="Q18" s="50">
        <f>21.61+3718.58+590.95+1409.3+20000+23633.67+3229.19+647.29</f>
        <v>53250.590000000004</v>
      </c>
      <c r="R18" s="51">
        <f t="shared" si="1"/>
        <v>3316.4399999999878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20000</v>
      </c>
      <c r="M19" s="46">
        <f t="shared" si="2"/>
        <v>5011500</v>
      </c>
      <c r="N19" s="46">
        <f t="shared" si="2"/>
        <v>495000</v>
      </c>
      <c r="O19" s="46">
        <f t="shared" si="2"/>
        <v>70505.13</v>
      </c>
      <c r="P19" s="46">
        <f t="shared" si="2"/>
        <v>162743.02999999997</v>
      </c>
      <c r="Q19" s="46">
        <f t="shared" si="2"/>
        <v>222078.65</v>
      </c>
      <c r="R19" s="46">
        <f t="shared" si="2"/>
        <v>11169.509999999998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2" t="s">
        <v>21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2" t="s">
        <v>22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58">
        <f t="shared" si="3"/>
        <v>20000</v>
      </c>
      <c r="M26" s="27">
        <f t="shared" si="3"/>
        <v>5011500</v>
      </c>
      <c r="N26" s="27">
        <f t="shared" si="3"/>
        <v>495000</v>
      </c>
      <c r="O26" s="27">
        <f t="shared" si="3"/>
        <v>70505.13</v>
      </c>
      <c r="P26" s="27">
        <f t="shared" si="3"/>
        <v>162743.02999999997</v>
      </c>
      <c r="Q26" s="27">
        <f t="shared" si="3"/>
        <v>222078.65</v>
      </c>
      <c r="R26" s="27">
        <f t="shared" si="3"/>
        <v>11169.509999999998</v>
      </c>
      <c r="S26" s="3"/>
      <c r="T26" s="3"/>
    </row>
    <row r="27" spans="1:20" ht="34.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76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19" sqref="A19:R19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69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69</v>
      </c>
      <c r="G17" s="50">
        <v>2.75</v>
      </c>
      <c r="H17" s="28">
        <v>480000</v>
      </c>
      <c r="I17" s="28"/>
      <c r="J17" s="28"/>
      <c r="K17" s="28"/>
      <c r="L17" s="28">
        <f>60000+20000+20000+20000+20000+20000+20000+20000+20000+40000</f>
        <v>260000</v>
      </c>
      <c r="M17" s="49">
        <f>H17+J17-L17</f>
        <v>220000</v>
      </c>
      <c r="N17" s="28"/>
      <c r="O17" s="50">
        <v>3318.07</v>
      </c>
      <c r="P17" s="50">
        <f>1358.9+1227.4+20+30.84+1354.52+23.13+1102.33+21.48+1001.87+924.16+898.81+844.75+768.72+687.76+601.23+553.01+3.47</f>
        <v>11422.38</v>
      </c>
      <c r="Q17" s="50">
        <f>1372.52+30.84+1247.4+23.13+1354.52+41.48+4428.26+960.39+924.16+898.81+844.75+768.72+687.76</f>
        <v>13582.74</v>
      </c>
      <c r="R17" s="51">
        <f>O17+P17-Q17</f>
        <v>1157.7099999999991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298000</v>
      </c>
      <c r="M18" s="27">
        <f t="shared" si="0"/>
        <v>220000</v>
      </c>
      <c r="N18" s="27">
        <f t="shared" si="0"/>
        <v>0</v>
      </c>
      <c r="O18" s="27">
        <f t="shared" si="0"/>
        <v>3432.57</v>
      </c>
      <c r="P18" s="27">
        <f t="shared" si="0"/>
        <v>11713.15</v>
      </c>
      <c r="Q18" s="58">
        <f>Q16+Q17</f>
        <v>13988.01</v>
      </c>
      <c r="R18" s="58">
        <f t="shared" si="0"/>
        <v>1157.7099999999991</v>
      </c>
      <c r="S18" s="3"/>
      <c r="T18" s="3"/>
    </row>
    <row r="19" spans="1:20" ht="15">
      <c r="A19" s="95" t="s">
        <v>21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5" t="s">
        <v>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298000</v>
      </c>
      <c r="M24" s="27">
        <f t="shared" si="1"/>
        <v>220000</v>
      </c>
      <c r="N24" s="27">
        <f t="shared" si="1"/>
        <v>0</v>
      </c>
      <c r="O24" s="27">
        <f t="shared" si="1"/>
        <v>3432.57</v>
      </c>
      <c r="P24" s="27">
        <f t="shared" si="1"/>
        <v>11713.15</v>
      </c>
      <c r="Q24" s="58">
        <f t="shared" si="1"/>
        <v>13988.01</v>
      </c>
      <c r="R24" s="58">
        <f t="shared" si="1"/>
        <v>1157.7099999999991</v>
      </c>
      <c r="S24" s="3"/>
      <c r="T24" s="3"/>
    </row>
    <row r="25" spans="1:20" ht="15" thickBo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87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88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3" zoomScale="60" zoomScaleNormal="100" workbookViewId="0">
      <selection activeCell="P16" sqref="P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31.25">
      <c r="A15" s="60">
        <v>1</v>
      </c>
      <c r="B15" s="69" t="s">
        <v>90</v>
      </c>
      <c r="C15" s="71" t="s">
        <v>64</v>
      </c>
      <c r="D15" s="72">
        <v>780000</v>
      </c>
      <c r="E15" s="73">
        <v>43258</v>
      </c>
      <c r="F15" s="74" t="s">
        <v>69</v>
      </c>
      <c r="G15" s="43">
        <v>2.75</v>
      </c>
      <c r="H15" s="75">
        <v>113382</v>
      </c>
      <c r="I15" s="43"/>
      <c r="J15" s="43"/>
      <c r="K15" s="75"/>
      <c r="L15" s="75">
        <f>8154+8154+8154+8154+8154+8154+8154+8154+8154+8154</f>
        <v>81540</v>
      </c>
      <c r="M15" s="49">
        <f>H15+J15-L15</f>
        <v>31842</v>
      </c>
      <c r="N15" s="43"/>
      <c r="O15" s="76">
        <v>322.10000000000002</v>
      </c>
      <c r="P15" s="76">
        <f>317.88+257.91+274.82+65.23+1.81+241.16+2.22+195.66+184.02+30.17+0.72+172.93+1.39+155.02+1.13+90.73+99.41+77.5+0.53+74.37+0.29+53.82</f>
        <v>2298.7200000000007</v>
      </c>
      <c r="Q15" s="76">
        <f>317.88+322.1+257.91+274.82+65.23+1.81+241.16+2.22+195.66+214.91+330.47+90.73</f>
        <v>2314.9</v>
      </c>
      <c r="R15" s="51">
        <f>O15+P15-Q15</f>
        <v>305.92000000000053</v>
      </c>
      <c r="S15" s="3"/>
      <c r="T15" s="3"/>
    </row>
    <row r="16" spans="1:20" ht="131.25">
      <c r="A16" s="60">
        <v>2</v>
      </c>
      <c r="B16" s="69" t="s">
        <v>91</v>
      </c>
      <c r="C16" s="71" t="s">
        <v>64</v>
      </c>
      <c r="D16" s="72">
        <v>500000</v>
      </c>
      <c r="E16" s="73">
        <v>43276</v>
      </c>
      <c r="F16" s="74" t="s">
        <v>69</v>
      </c>
      <c r="G16" s="43">
        <v>2.75</v>
      </c>
      <c r="H16" s="75">
        <v>159279</v>
      </c>
      <c r="I16" s="43"/>
      <c r="J16" s="43"/>
      <c r="K16" s="75"/>
      <c r="L16" s="75">
        <f>42565+8513+8513+8513+8513+8513</f>
        <v>85130</v>
      </c>
      <c r="M16" s="49">
        <f t="shared" ref="M16:M18" si="0">H16+J16-L16</f>
        <v>74149</v>
      </c>
      <c r="N16" s="43"/>
      <c r="O16" s="76">
        <v>454.81</v>
      </c>
      <c r="P16" s="76">
        <f>450.93+373.86+401.43+2.62+68.1+361.04+3.07+311.45+295.85+31.5+1.15+287.66+2.13+268.97+1.88+164.4+202.44+117.5+1.08+173.18+37.46+0.68</f>
        <v>3558.38</v>
      </c>
      <c r="Q16" s="76">
        <f>450.93+454.81+373.86+401.43+2.62+68.1+361.04+3.07+311.45+328.5+560.64+164.4</f>
        <v>3480.85</v>
      </c>
      <c r="R16" s="51">
        <f t="shared" ref="R16:R18" si="1">O16+P16-Q16</f>
        <v>532.34000000000015</v>
      </c>
      <c r="S16" s="3"/>
      <c r="T16" s="3"/>
    </row>
    <row r="17" spans="1:20" ht="131.25">
      <c r="A17" s="60">
        <v>3</v>
      </c>
      <c r="B17" s="69" t="s">
        <v>67</v>
      </c>
      <c r="C17" s="71" t="s">
        <v>64</v>
      </c>
      <c r="D17" s="72">
        <v>204000</v>
      </c>
      <c r="E17" s="73">
        <v>43758</v>
      </c>
      <c r="F17" s="74" t="s">
        <v>69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577.53+521.64+575.67+3.65+544.93+3.77+534.22+516.99+19.77+534.22+3.48+534.22+3.48+516.99+490.9+461.1+2.62+476.47+2.66</f>
        <v>6324.3099999999986</v>
      </c>
      <c r="Q17" s="76">
        <f>577.53+577.53+521.64+575.67+3.65+544.93+3.77+534.22+536.76+1075.4+516.99</f>
        <v>5468.09</v>
      </c>
      <c r="R17" s="51">
        <f t="shared" si="1"/>
        <v>1433.7499999999982</v>
      </c>
      <c r="S17" s="3"/>
      <c r="T17" s="3"/>
    </row>
    <row r="18" spans="1:20" ht="131.25">
      <c r="A18" s="70">
        <v>4</v>
      </c>
      <c r="B18" s="69" t="s">
        <v>68</v>
      </c>
      <c r="C18" s="71" t="s">
        <v>64</v>
      </c>
      <c r="D18" s="72">
        <v>216000</v>
      </c>
      <c r="E18" s="73">
        <v>43758</v>
      </c>
      <c r="F18" s="74" t="s">
        <v>69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611.51+552.33+609.53+3.87+576.99+3.99+565.64+547.4+2.09+565.64+3.56+565.64+3.69+547.4+519.78+488.22+2.77+504.49+2.82</f>
        <v>6677.3599999999988</v>
      </c>
      <c r="Q18" s="76">
        <f>611.51+611.51+552.33+609.53+3.87+576.99+3.99+565.64+549.49+1138.53+547.4</f>
        <v>5770.7899999999991</v>
      </c>
      <c r="R18" s="51">
        <f t="shared" si="1"/>
        <v>1518.08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166670</v>
      </c>
      <c r="M19" s="46">
        <f t="shared" si="2"/>
        <v>525991</v>
      </c>
      <c r="N19" s="46">
        <f t="shared" si="2"/>
        <v>0</v>
      </c>
      <c r="O19" s="46">
        <f t="shared" si="2"/>
        <v>1965.95</v>
      </c>
      <c r="P19" s="46">
        <f t="shared" si="2"/>
        <v>18858.769999999997</v>
      </c>
      <c r="Q19" s="46">
        <f t="shared" si="2"/>
        <v>17034.629999999997</v>
      </c>
      <c r="R19" s="46">
        <f t="shared" si="2"/>
        <v>3790.0899999999988</v>
      </c>
      <c r="S19" s="3"/>
      <c r="T19" s="3"/>
    </row>
    <row r="20" spans="1:20" ht="15">
      <c r="A20" s="95" t="s">
        <v>21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5" t="s">
        <v>22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166670</v>
      </c>
      <c r="M25" s="27">
        <f t="shared" si="3"/>
        <v>525991</v>
      </c>
      <c r="N25" s="27">
        <f t="shared" si="3"/>
        <v>0</v>
      </c>
      <c r="O25" s="27">
        <f t="shared" si="3"/>
        <v>1965.95</v>
      </c>
      <c r="P25" s="27">
        <f t="shared" si="3"/>
        <v>18858.769999999997</v>
      </c>
      <c r="Q25" s="27">
        <f t="shared" si="3"/>
        <v>17034.629999999997</v>
      </c>
      <c r="R25" s="27">
        <f t="shared" si="3"/>
        <v>3790.0899999999988</v>
      </c>
      <c r="S25" s="3"/>
      <c r="T25" s="3"/>
    </row>
    <row r="26" spans="1:20" ht="1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0">
      <c r="A15" s="43">
        <v>1</v>
      </c>
      <c r="B15" s="69" t="s">
        <v>80</v>
      </c>
      <c r="C15" s="69" t="s">
        <v>64</v>
      </c>
      <c r="D15" s="72">
        <v>1100000</v>
      </c>
      <c r="E15" s="73">
        <v>42819</v>
      </c>
      <c r="F15" s="61" t="s">
        <v>82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81</v>
      </c>
      <c r="C16" s="69" t="s">
        <v>64</v>
      </c>
      <c r="D16" s="72">
        <v>836000</v>
      </c>
      <c r="E16" s="73">
        <v>43758</v>
      </c>
      <c r="F16" s="61" t="s">
        <v>82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2366.76+2137.72+2282.77+2233.15+14.84+2189.25+2118.63+6.4+2189.25+14.5+2189.25+2118.63+2011.74+1889.59+10.74+1952.58+10.91</f>
        <v>25736.710000000003</v>
      </c>
      <c r="Q16" s="76">
        <f>4733.52+2137.72+2282.77+2233.15+14.84+2189.25+4328.78+2189.25+2118.63+3912.07</f>
        <v>26139.98</v>
      </c>
      <c r="R16" s="51">
        <f>O16+P16-Q16</f>
        <v>1963.4900000000016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26327.980000000003</v>
      </c>
      <c r="Q17" s="46">
        <f t="shared" si="0"/>
        <v>27079.47</v>
      </c>
      <c r="R17" s="46">
        <f t="shared" si="0"/>
        <v>1963.4900000000016</v>
      </c>
      <c r="S17" s="3"/>
      <c r="T17" s="3"/>
    </row>
    <row r="18" spans="1:20" ht="15">
      <c r="A18" s="95" t="s">
        <v>21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5" t="s">
        <v>22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26327.980000000003</v>
      </c>
      <c r="Q23" s="46">
        <f t="shared" si="1"/>
        <v>27079.47</v>
      </c>
      <c r="R23" s="46">
        <f t="shared" si="1"/>
        <v>1963.4900000000016</v>
      </c>
      <c r="S23" s="3"/>
      <c r="T23" s="3"/>
    </row>
    <row r="24" spans="1:20" ht="15" thickBo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A7" zoomScaleNormal="100" workbookViewId="0">
      <selection activeCell="Q15" sqref="Q15"/>
    </sheetView>
  </sheetViews>
  <sheetFormatPr defaultRowHeight="12.75"/>
  <cols>
    <col min="1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4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602670</v>
      </c>
      <c r="M15" s="46">
        <f>Шала!M19+Кривцы!M18+Авдеево!M23+Красноборский!M25</f>
        <v>6593491</v>
      </c>
      <c r="N15" s="46">
        <f>Шала!N19+Кривцы!N18+Авдеево!N23+Красноборский!N25</f>
        <v>495000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219642.92999999996</v>
      </c>
      <c r="Q15" s="46">
        <f>Шала!Q19+Кривцы!Q18+Авдеево!Q23+Красноборский!Q25</f>
        <v>280180.76</v>
      </c>
      <c r="R15" s="46">
        <f>Шала!R19+Кривцы!R18+Авдеево!R23+Красноборский!R25</f>
        <v>18080.8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5" t="s">
        <v>21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95" t="s">
        <v>22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103" t="s">
        <v>56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2018-02-12T11:38:20Z</cp:lastPrinted>
  <dcterms:created xsi:type="dcterms:W3CDTF">2006-06-05T06:40:26Z</dcterms:created>
  <dcterms:modified xsi:type="dcterms:W3CDTF">2018-02-12T11:39:25Z</dcterms:modified>
</cp:coreProperties>
</file>