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9440" windowHeight="11040" firstSheet="1" activeTab="1"/>
  </bookViews>
  <sheets>
    <sheet name="консолидированный (короткая)" sheetId="11" state="hidden" r:id="rId1"/>
    <sheet name="пудожский район" sheetId="1" r:id="rId2"/>
    <sheet name="сортавала" sheetId="5" state="hidden" r:id="rId3"/>
    <sheet name="бюджет округа (района)" sheetId="8" state="hidden" r:id="rId4"/>
    <sheet name="бюджеты поселений" sheetId="9" state="hidden" r:id="rId5"/>
    <sheet name="КРЕДИТ ДЛЯ ПОСЕЛЕНИЯ" sheetId="10" state="hidden" r:id="rId6"/>
    <sheet name="Лист1" sheetId="12" state="hidden" r:id="rId7"/>
  </sheets>
  <externalReferences>
    <externalReference r:id="rId8"/>
    <externalReference r:id="rId9"/>
    <externalReference r:id="rId10"/>
  </externalReferences>
  <definedNames>
    <definedName name="_xlnm.Print_Titles" localSheetId="3">'бюджет округа (района)'!$A:$B,'бюджет округа (района)'!$5:$8</definedName>
    <definedName name="_xlnm.Print_Titles" localSheetId="4">'бюджеты поселений'!$A:$B,'бюджеты поселений'!$5:$8</definedName>
    <definedName name="_xlnm.Print_Titles" localSheetId="0">'консолидированный (короткая)'!$A:$B,'консолидированный (короткая)'!$5:$8</definedName>
    <definedName name="_xlnm.Print_Titles" localSheetId="5">'КРЕДИТ ДЛЯ ПОСЕЛЕНИЯ'!$A:$B,'КРЕДИТ ДЛЯ ПОСЕЛЕНИЯ'!$5:$8</definedName>
    <definedName name="_xlnm.Print_Titles" localSheetId="1">'пудожский район'!$A:$B,'пудожский район'!$6:$9</definedName>
    <definedName name="_xlnm.Print_Titles" localSheetId="2">сортавала!$4:$7</definedName>
    <definedName name="_xlnm.Print_Area" localSheetId="3">'бюджет округа (района)'!$A$2:$BL$131</definedName>
    <definedName name="_xlnm.Print_Area" localSheetId="4">'бюджеты поселений'!$A$2:$BL$131</definedName>
    <definedName name="_xlnm.Print_Area" localSheetId="0">'консолидированный (короткая)'!$A$2:$DV$130</definedName>
    <definedName name="_xlnm.Print_Area" localSheetId="5">'КРЕДИТ ДЛЯ ПОСЕЛЕНИЯ'!$A$2:$BL$128</definedName>
    <definedName name="_xlnm.Print_Area" localSheetId="1">'пудожский район'!$A$1:$I$32</definedName>
    <definedName name="_xlnm.Print_Area" localSheetId="2">сортавала!$A$1:$DV$111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0" i="1"/>
  <c r="C10"/>
  <c r="G15"/>
  <c r="G16"/>
  <c r="G13"/>
  <c r="G11"/>
  <c r="G14"/>
  <c r="G17"/>
  <c r="G18"/>
  <c r="G19"/>
  <c r="G20"/>
  <c r="G21"/>
  <c r="G22"/>
  <c r="G23"/>
  <c r="G12"/>
  <c r="G10" l="1"/>
  <c r="BG117" i="8" l="1"/>
  <c r="BG116"/>
  <c r="BG115"/>
  <c r="BD117"/>
  <c r="BD116"/>
  <c r="BD115"/>
  <c r="AR117"/>
  <c r="AR116"/>
  <c r="AR115"/>
  <c r="AL117"/>
  <c r="AL116"/>
  <c r="AL115"/>
  <c r="AI117"/>
  <c r="AI116"/>
  <c r="AI115"/>
  <c r="AF117"/>
  <c r="AF116"/>
  <c r="AF115"/>
  <c r="AF114"/>
  <c r="BG117" i="9"/>
  <c r="BG116"/>
  <c r="BG115"/>
  <c r="BD117"/>
  <c r="BD116"/>
  <c r="BD115"/>
  <c r="BG117" i="10"/>
  <c r="BG116"/>
  <c r="BG115"/>
  <c r="BD117"/>
  <c r="BD116"/>
  <c r="BD115"/>
  <c r="AX117" i="9"/>
  <c r="AX116"/>
  <c r="AX115"/>
  <c r="AX117" i="10"/>
  <c r="AX116"/>
  <c r="AX115"/>
  <c r="AR117" i="9"/>
  <c r="AR116"/>
  <c r="AR115"/>
  <c r="AR117" i="10"/>
  <c r="AR116"/>
  <c r="AR115"/>
  <c r="AL117" i="9"/>
  <c r="AL116"/>
  <c r="AL115"/>
  <c r="AL117" i="10"/>
  <c r="AL116"/>
  <c r="AL115"/>
  <c r="AI117" i="9"/>
  <c r="AI116"/>
  <c r="AI115"/>
  <c r="AI117" i="10"/>
  <c r="AI116"/>
  <c r="AI115"/>
  <c r="AF117" i="9"/>
  <c r="AF116"/>
  <c r="AF115"/>
  <c r="AF114"/>
  <c r="AF117" i="10"/>
  <c r="AF116"/>
  <c r="AF115"/>
  <c r="AF114"/>
  <c r="BI94" i="9"/>
  <c r="BJ94"/>
  <c r="BI94" i="10"/>
  <c r="BJ94"/>
  <c r="BI94" i="8"/>
  <c r="BJ94"/>
  <c r="Y117" i="10" l="1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Y117" i="9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I115" i="10"/>
  <c r="I115" i="9"/>
  <c r="G115" i="10"/>
  <c r="G115" i="9"/>
  <c r="G116" i="10"/>
  <c r="G117"/>
  <c r="G116" i="9"/>
  <c r="G117"/>
  <c r="I116" i="10"/>
  <c r="I117"/>
  <c r="I116" i="9"/>
  <c r="I117"/>
  <c r="CB117" i="8"/>
  <c r="CB116"/>
  <c r="CB115"/>
  <c r="BP117"/>
  <c r="BP116"/>
  <c r="BP115"/>
  <c r="DJ117"/>
  <c r="DI117"/>
  <c r="DJ116"/>
  <c r="DI116"/>
  <c r="DJ115"/>
  <c r="DI115"/>
  <c r="DD117"/>
  <c r="DC117"/>
  <c r="DD116"/>
  <c r="DC116"/>
  <c r="DD115"/>
  <c r="DC115"/>
  <c r="CX117"/>
  <c r="CW117"/>
  <c r="CX116"/>
  <c r="CW116"/>
  <c r="CX115"/>
  <c r="CW115"/>
  <c r="CR117"/>
  <c r="CQ117"/>
  <c r="CR116"/>
  <c r="CQ116"/>
  <c r="CR115"/>
  <c r="CQ115"/>
  <c r="CL117"/>
  <c r="CL116"/>
  <c r="CL115"/>
  <c r="CK115"/>
  <c r="CF117"/>
  <c r="CF116"/>
  <c r="CF115"/>
  <c r="CE115"/>
  <c r="BZ117"/>
  <c r="BZ116"/>
  <c r="BZ115"/>
  <c r="BY115"/>
  <c r="BT117"/>
  <c r="BT116"/>
  <c r="BT115"/>
  <c r="BS115"/>
  <c r="AA117"/>
  <c r="W117"/>
  <c r="S117"/>
  <c r="O117"/>
  <c r="K115"/>
  <c r="K117"/>
  <c r="A1" i="11"/>
  <c r="BK117" i="9"/>
  <c r="D117"/>
  <c r="BK116"/>
  <c r="D116"/>
  <c r="BK115"/>
  <c r="D115"/>
  <c r="BK117" i="10"/>
  <c r="D117"/>
  <c r="AT117" s="1"/>
  <c r="BK116"/>
  <c r="D116"/>
  <c r="BK115"/>
  <c r="D115"/>
  <c r="BK117" i="8"/>
  <c r="G117"/>
  <c r="BK116"/>
  <c r="G116"/>
  <c r="BK115"/>
  <c r="BM115" s="1"/>
  <c r="G115"/>
  <c r="AY5" i="11"/>
  <c r="E5"/>
  <c r="C5"/>
  <c r="C3" i="9"/>
  <c r="DR130" i="11"/>
  <c r="DQ130"/>
  <c r="DP130"/>
  <c r="DO130"/>
  <c r="DN130"/>
  <c r="DM130"/>
  <c r="DH130"/>
  <c r="DG130"/>
  <c r="DB130"/>
  <c r="DA130"/>
  <c r="CV130"/>
  <c r="CU130"/>
  <c r="CP130"/>
  <c r="CO130"/>
  <c r="CJ130"/>
  <c r="CI130"/>
  <c r="CD130"/>
  <c r="CC130"/>
  <c r="BX130"/>
  <c r="BW130"/>
  <c r="BR130"/>
  <c r="BQ130"/>
  <c r="BL130"/>
  <c r="BK130"/>
  <c r="BF130"/>
  <c r="BE130"/>
  <c r="BD130"/>
  <c r="BC130"/>
  <c r="AZ130"/>
  <c r="AY130"/>
  <c r="AX130"/>
  <c r="AW130"/>
  <c r="AT130"/>
  <c r="AS130"/>
  <c r="AP130"/>
  <c r="AO130"/>
  <c r="AL130"/>
  <c r="AK130"/>
  <c r="AH130"/>
  <c r="AG130"/>
  <c r="AD130"/>
  <c r="AC130"/>
  <c r="Z130"/>
  <c r="Y130"/>
  <c r="V130"/>
  <c r="U130"/>
  <c r="R130"/>
  <c r="Q130"/>
  <c r="N130"/>
  <c r="M130"/>
  <c r="J130"/>
  <c r="I130"/>
  <c r="H130"/>
  <c r="G130"/>
  <c r="F130"/>
  <c r="DV130" s="1"/>
  <c r="E130"/>
  <c r="DU130" s="1"/>
  <c r="D130"/>
  <c r="C130"/>
  <c r="DR129"/>
  <c r="DQ129"/>
  <c r="DP129"/>
  <c r="DO129"/>
  <c r="DN129"/>
  <c r="DM129"/>
  <c r="DH129"/>
  <c r="DG129"/>
  <c r="DB129"/>
  <c r="DA129"/>
  <c r="CV129"/>
  <c r="CU129"/>
  <c r="CP129"/>
  <c r="CO129"/>
  <c r="CJ129"/>
  <c r="CI129"/>
  <c r="CD129"/>
  <c r="CC129"/>
  <c r="BX129"/>
  <c r="BW129"/>
  <c r="BR129"/>
  <c r="BQ129"/>
  <c r="BL129"/>
  <c r="BK129"/>
  <c r="BF129"/>
  <c r="BE129"/>
  <c r="BD129"/>
  <c r="BC129"/>
  <c r="AZ129"/>
  <c r="AY129"/>
  <c r="AX129"/>
  <c r="AW129"/>
  <c r="AT129"/>
  <c r="AS129"/>
  <c r="AP129"/>
  <c r="AO129"/>
  <c r="AL129"/>
  <c r="AK129"/>
  <c r="AH129"/>
  <c r="AG129"/>
  <c r="AD129"/>
  <c r="AC129"/>
  <c r="Z129"/>
  <c r="Y129"/>
  <c r="V129"/>
  <c r="U129"/>
  <c r="R129"/>
  <c r="Q129"/>
  <c r="N129"/>
  <c r="M129"/>
  <c r="J129"/>
  <c r="I129"/>
  <c r="H129"/>
  <c r="G129"/>
  <c r="F129"/>
  <c r="DV129" s="1"/>
  <c r="E129"/>
  <c r="DU129" s="1"/>
  <c r="D129"/>
  <c r="C129"/>
  <c r="DR128"/>
  <c r="DQ128"/>
  <c r="DP128"/>
  <c r="DO128"/>
  <c r="DN128"/>
  <c r="DM128"/>
  <c r="DH128"/>
  <c r="DG128"/>
  <c r="DB128"/>
  <c r="DA128"/>
  <c r="CV128"/>
  <c r="CU128"/>
  <c r="CP128"/>
  <c r="CO128"/>
  <c r="CJ128"/>
  <c r="CI128"/>
  <c r="CD128"/>
  <c r="CC128"/>
  <c r="BX128"/>
  <c r="BW128"/>
  <c r="BR128"/>
  <c r="BQ128"/>
  <c r="BL128"/>
  <c r="BK128"/>
  <c r="BF128"/>
  <c r="BE128"/>
  <c r="BD128"/>
  <c r="BC128"/>
  <c r="AZ128"/>
  <c r="AY128"/>
  <c r="AX128"/>
  <c r="AW128"/>
  <c r="AT128"/>
  <c r="AS128"/>
  <c r="AP128"/>
  <c r="AO128"/>
  <c r="AL128"/>
  <c r="AK128"/>
  <c r="AH128"/>
  <c r="AG128"/>
  <c r="AD128"/>
  <c r="AC128"/>
  <c r="Z128"/>
  <c r="Y128"/>
  <c r="V128"/>
  <c r="U128"/>
  <c r="R128"/>
  <c r="Q128"/>
  <c r="N128"/>
  <c r="M128"/>
  <c r="J128"/>
  <c r="I128"/>
  <c r="H128"/>
  <c r="G128"/>
  <c r="F128"/>
  <c r="DV128" s="1"/>
  <c r="E128"/>
  <c r="DU128" s="1"/>
  <c r="D128"/>
  <c r="C128"/>
  <c r="DR127"/>
  <c r="DQ127"/>
  <c r="DP127"/>
  <c r="DO127"/>
  <c r="DN127"/>
  <c r="DM127"/>
  <c r="DH127"/>
  <c r="DG127"/>
  <c r="DB127"/>
  <c r="DA127"/>
  <c r="CV127"/>
  <c r="CU127"/>
  <c r="CP127"/>
  <c r="CO127"/>
  <c r="CJ127"/>
  <c r="CI127"/>
  <c r="CD127"/>
  <c r="CC127"/>
  <c r="BX127"/>
  <c r="BW127"/>
  <c r="BR127"/>
  <c r="BQ127"/>
  <c r="BL127"/>
  <c r="BK127"/>
  <c r="BF127"/>
  <c r="BE127"/>
  <c r="BD127"/>
  <c r="BC127"/>
  <c r="AZ127"/>
  <c r="AY127"/>
  <c r="AX127"/>
  <c r="AW127"/>
  <c r="AT127"/>
  <c r="AS127"/>
  <c r="AP127"/>
  <c r="AO127"/>
  <c r="AL127"/>
  <c r="AK127"/>
  <c r="AH127"/>
  <c r="AG127"/>
  <c r="AD127"/>
  <c r="AC127"/>
  <c r="Z127"/>
  <c r="Y127"/>
  <c r="V127"/>
  <c r="U127"/>
  <c r="R127"/>
  <c r="Q127"/>
  <c r="N127"/>
  <c r="M127"/>
  <c r="J127"/>
  <c r="I127"/>
  <c r="H127"/>
  <c r="G127"/>
  <c r="F127"/>
  <c r="DV127" s="1"/>
  <c r="E127"/>
  <c r="DU127" s="1"/>
  <c r="D127"/>
  <c r="C127"/>
  <c r="DR126"/>
  <c r="DQ126"/>
  <c r="DP126"/>
  <c r="DO126"/>
  <c r="DN126"/>
  <c r="DM126"/>
  <c r="DH126"/>
  <c r="DG126"/>
  <c r="DB126"/>
  <c r="DA126"/>
  <c r="CV126"/>
  <c r="CU126"/>
  <c r="CP126"/>
  <c r="CO126"/>
  <c r="CJ126"/>
  <c r="CI126"/>
  <c r="CD126"/>
  <c r="CC126"/>
  <c r="BX126"/>
  <c r="BW126"/>
  <c r="BR126"/>
  <c r="BQ126"/>
  <c r="BL126"/>
  <c r="BK126"/>
  <c r="BF126"/>
  <c r="BE126"/>
  <c r="BD126"/>
  <c r="BC126"/>
  <c r="AZ126"/>
  <c r="AY126"/>
  <c r="AX126"/>
  <c r="AW126"/>
  <c r="AT126"/>
  <c r="AS126"/>
  <c r="AP126"/>
  <c r="AO126"/>
  <c r="AL126"/>
  <c r="AK126"/>
  <c r="AH126"/>
  <c r="AG126"/>
  <c r="AD126"/>
  <c r="AC126"/>
  <c r="Z126"/>
  <c r="Y126"/>
  <c r="V126"/>
  <c r="U126"/>
  <c r="R126"/>
  <c r="Q126"/>
  <c r="N126"/>
  <c r="M126"/>
  <c r="J126"/>
  <c r="I126"/>
  <c r="H126"/>
  <c r="G126"/>
  <c r="F126"/>
  <c r="DV126" s="1"/>
  <c r="E126"/>
  <c r="DU126" s="1"/>
  <c r="D126"/>
  <c r="C126"/>
  <c r="DR125"/>
  <c r="DQ125"/>
  <c r="DP125"/>
  <c r="DO125"/>
  <c r="DN125"/>
  <c r="DM125"/>
  <c r="DH125"/>
  <c r="DG125"/>
  <c r="DB125"/>
  <c r="DA125"/>
  <c r="CV125"/>
  <c r="CU125"/>
  <c r="CP125"/>
  <c r="CO125"/>
  <c r="CJ125"/>
  <c r="CI125"/>
  <c r="CD125"/>
  <c r="CC125"/>
  <c r="BX125"/>
  <c r="BW125"/>
  <c r="BR125"/>
  <c r="BQ125"/>
  <c r="BL125"/>
  <c r="BK125"/>
  <c r="BF125"/>
  <c r="BE125"/>
  <c r="BD125"/>
  <c r="BC125"/>
  <c r="AZ125"/>
  <c r="AY125"/>
  <c r="AX125"/>
  <c r="F125" s="1"/>
  <c r="DV125" s="1"/>
  <c r="AW125"/>
  <c r="E125" s="1"/>
  <c r="DU125" s="1"/>
  <c r="AT125"/>
  <c r="AS125"/>
  <c r="AP125"/>
  <c r="AO125"/>
  <c r="AL125"/>
  <c r="AK125"/>
  <c r="AH125"/>
  <c r="AG125"/>
  <c r="AD125"/>
  <c r="AC125"/>
  <c r="Z125"/>
  <c r="Y125"/>
  <c r="V125"/>
  <c r="U125"/>
  <c r="R125"/>
  <c r="Q125"/>
  <c r="N125"/>
  <c r="M125"/>
  <c r="J125"/>
  <c r="I125"/>
  <c r="H125"/>
  <c r="G125"/>
  <c r="D125"/>
  <c r="C125"/>
  <c r="DR124"/>
  <c r="DQ124"/>
  <c r="DP124"/>
  <c r="DO124"/>
  <c r="DN124"/>
  <c r="DM124"/>
  <c r="DH124"/>
  <c r="DG124"/>
  <c r="DB124"/>
  <c r="DA124"/>
  <c r="CV124"/>
  <c r="CU124"/>
  <c r="CP124"/>
  <c r="CO124"/>
  <c r="CJ124"/>
  <c r="CI124"/>
  <c r="CD124"/>
  <c r="CC124"/>
  <c r="BX124"/>
  <c r="BW124"/>
  <c r="BR124"/>
  <c r="BQ124"/>
  <c r="BL124"/>
  <c r="BK124"/>
  <c r="BF124"/>
  <c r="BE124"/>
  <c r="BD124"/>
  <c r="BC124"/>
  <c r="AZ124"/>
  <c r="AY124"/>
  <c r="AX124"/>
  <c r="AW124"/>
  <c r="AT124"/>
  <c r="AS124"/>
  <c r="AP124"/>
  <c r="AO124"/>
  <c r="AL124"/>
  <c r="AK124"/>
  <c r="AH124"/>
  <c r="AG124"/>
  <c r="AD124"/>
  <c r="AC124"/>
  <c r="Z124"/>
  <c r="Y124"/>
  <c r="V124"/>
  <c r="U124"/>
  <c r="R124"/>
  <c r="Q124"/>
  <c r="N124"/>
  <c r="M124"/>
  <c r="J124"/>
  <c r="I124"/>
  <c r="H124"/>
  <c r="G124"/>
  <c r="F124"/>
  <c r="DV124" s="1"/>
  <c r="E124"/>
  <c r="DU124" s="1"/>
  <c r="D124"/>
  <c r="C124"/>
  <c r="DR123"/>
  <c r="DQ123"/>
  <c r="DP123"/>
  <c r="DO123"/>
  <c r="DN123"/>
  <c r="DM123"/>
  <c r="DH123"/>
  <c r="DG123"/>
  <c r="DB123"/>
  <c r="DA123"/>
  <c r="CV123"/>
  <c r="CU123"/>
  <c r="CP123"/>
  <c r="CO123"/>
  <c r="CJ123"/>
  <c r="CI123"/>
  <c r="CD123"/>
  <c r="CC123"/>
  <c r="BX123"/>
  <c r="BW123"/>
  <c r="BR123"/>
  <c r="BQ123"/>
  <c r="BL123"/>
  <c r="BK123"/>
  <c r="BF123"/>
  <c r="BE123"/>
  <c r="BD123"/>
  <c r="BC123"/>
  <c r="AZ123"/>
  <c r="AY123"/>
  <c r="AX123"/>
  <c r="AW123"/>
  <c r="AT123"/>
  <c r="AS123"/>
  <c r="AP123"/>
  <c r="AO123"/>
  <c r="AL123"/>
  <c r="AK123"/>
  <c r="AH123"/>
  <c r="AG123"/>
  <c r="AD123"/>
  <c r="AC123"/>
  <c r="Z123"/>
  <c r="Y123"/>
  <c r="V123"/>
  <c r="U123"/>
  <c r="R123"/>
  <c r="Q123"/>
  <c r="N123"/>
  <c r="M123"/>
  <c r="J123"/>
  <c r="I123"/>
  <c r="H123"/>
  <c r="G123"/>
  <c r="F123"/>
  <c r="DV123" s="1"/>
  <c r="E123"/>
  <c r="DU123" s="1"/>
  <c r="D123"/>
  <c r="C123"/>
  <c r="DR122"/>
  <c r="DQ122"/>
  <c r="DP122"/>
  <c r="DO122"/>
  <c r="DN122"/>
  <c r="DM122"/>
  <c r="DH122"/>
  <c r="DG122"/>
  <c r="DB122"/>
  <c r="DA122"/>
  <c r="CV122"/>
  <c r="CU122"/>
  <c r="CP122"/>
  <c r="CO122"/>
  <c r="CJ122"/>
  <c r="CI122"/>
  <c r="CD122"/>
  <c r="CC122"/>
  <c r="BX122"/>
  <c r="BW122"/>
  <c r="BR122"/>
  <c r="BQ122"/>
  <c r="BL122"/>
  <c r="BK122"/>
  <c r="BF122"/>
  <c r="BE122"/>
  <c r="BD122"/>
  <c r="BC122"/>
  <c r="AZ122"/>
  <c r="AY122"/>
  <c r="AX122"/>
  <c r="AW122"/>
  <c r="AT122"/>
  <c r="AS122"/>
  <c r="AP122"/>
  <c r="AO122"/>
  <c r="AL122"/>
  <c r="AK122"/>
  <c r="AH122"/>
  <c r="AG122"/>
  <c r="AD122"/>
  <c r="AC122"/>
  <c r="Z122"/>
  <c r="Y122"/>
  <c r="V122"/>
  <c r="U122"/>
  <c r="R122"/>
  <c r="Q122"/>
  <c r="N122"/>
  <c r="M122"/>
  <c r="J122"/>
  <c r="I122"/>
  <c r="H122"/>
  <c r="G122"/>
  <c r="F122"/>
  <c r="DV122" s="1"/>
  <c r="E122"/>
  <c r="DU122" s="1"/>
  <c r="D122"/>
  <c r="C122"/>
  <c r="DR121"/>
  <c r="DQ121"/>
  <c r="DP121"/>
  <c r="DO121"/>
  <c r="DN121"/>
  <c r="DM121"/>
  <c r="DH121"/>
  <c r="DG121"/>
  <c r="DB121"/>
  <c r="DA121"/>
  <c r="CV121"/>
  <c r="CU121"/>
  <c r="CP121"/>
  <c r="CO121"/>
  <c r="CJ121"/>
  <c r="CI121"/>
  <c r="CD121"/>
  <c r="CC121"/>
  <c r="BX121"/>
  <c r="BW121"/>
  <c r="BR121"/>
  <c r="BQ121"/>
  <c r="BL121"/>
  <c r="BK121"/>
  <c r="BF121"/>
  <c r="BE121"/>
  <c r="BD121"/>
  <c r="BC121"/>
  <c r="AZ121"/>
  <c r="AY121"/>
  <c r="AX121"/>
  <c r="AW121"/>
  <c r="AT121"/>
  <c r="AS121"/>
  <c r="AP121"/>
  <c r="AO121"/>
  <c r="AL121"/>
  <c r="AK121"/>
  <c r="AH121"/>
  <c r="AG121"/>
  <c r="AD121"/>
  <c r="AC121"/>
  <c r="Z121"/>
  <c r="Y121"/>
  <c r="V121"/>
  <c r="U121"/>
  <c r="R121"/>
  <c r="Q121"/>
  <c r="N121"/>
  <c r="M121"/>
  <c r="J121"/>
  <c r="I121"/>
  <c r="H121"/>
  <c r="G121"/>
  <c r="F121"/>
  <c r="DV121" s="1"/>
  <c r="E121"/>
  <c r="DU121" s="1"/>
  <c r="D121"/>
  <c r="C121"/>
  <c r="DR120"/>
  <c r="DQ120"/>
  <c r="DP120"/>
  <c r="DO120"/>
  <c r="DN120"/>
  <c r="DM120"/>
  <c r="DH120"/>
  <c r="DG120"/>
  <c r="DB120"/>
  <c r="DA120"/>
  <c r="CV120"/>
  <c r="CU120"/>
  <c r="CP120"/>
  <c r="CO120"/>
  <c r="CJ120"/>
  <c r="CI120"/>
  <c r="CD120"/>
  <c r="CC120"/>
  <c r="BX120"/>
  <c r="BW120"/>
  <c r="BR120"/>
  <c r="BQ120"/>
  <c r="BL120"/>
  <c r="BK120"/>
  <c r="BF120"/>
  <c r="BE120"/>
  <c r="BD120"/>
  <c r="BC120"/>
  <c r="AZ120"/>
  <c r="AY120"/>
  <c r="AX120"/>
  <c r="AW120"/>
  <c r="AT120"/>
  <c r="AS120"/>
  <c r="AP120"/>
  <c r="AO120"/>
  <c r="AL120"/>
  <c r="AK120"/>
  <c r="AH120"/>
  <c r="AG120"/>
  <c r="AD120"/>
  <c r="AC120"/>
  <c r="Z120"/>
  <c r="Y120"/>
  <c r="V120"/>
  <c r="U120"/>
  <c r="R120"/>
  <c r="Q120"/>
  <c r="N120"/>
  <c r="M120"/>
  <c r="J120"/>
  <c r="I120"/>
  <c r="H120"/>
  <c r="G120"/>
  <c r="F120"/>
  <c r="DV120" s="1"/>
  <c r="E120"/>
  <c r="DU120" s="1"/>
  <c r="D120"/>
  <c r="C120"/>
  <c r="DR119"/>
  <c r="DQ119"/>
  <c r="DP119"/>
  <c r="DO119"/>
  <c r="DN119"/>
  <c r="DM119"/>
  <c r="DH119"/>
  <c r="DG119"/>
  <c r="DB119"/>
  <c r="DA119"/>
  <c r="CV119"/>
  <c r="CU119"/>
  <c r="CP119"/>
  <c r="CO119"/>
  <c r="CJ119"/>
  <c r="CI119"/>
  <c r="CD119"/>
  <c r="CC119"/>
  <c r="BX119"/>
  <c r="BW119"/>
  <c r="BR119"/>
  <c r="BQ119"/>
  <c r="BL119"/>
  <c r="BK119"/>
  <c r="BF119"/>
  <c r="BE119"/>
  <c r="BD119"/>
  <c r="BC119"/>
  <c r="AZ119"/>
  <c r="AY119"/>
  <c r="AX119"/>
  <c r="AW119"/>
  <c r="E119" s="1"/>
  <c r="DU119" s="1"/>
  <c r="AT119"/>
  <c r="AS119"/>
  <c r="AP119"/>
  <c r="AO119"/>
  <c r="AL119"/>
  <c r="AK119"/>
  <c r="AH119"/>
  <c r="AG119"/>
  <c r="AD119"/>
  <c r="AC119"/>
  <c r="Z119"/>
  <c r="Y119"/>
  <c r="V119"/>
  <c r="U119"/>
  <c r="R119"/>
  <c r="Q119"/>
  <c r="N119"/>
  <c r="M119"/>
  <c r="J119"/>
  <c r="I119"/>
  <c r="H119"/>
  <c r="G119"/>
  <c r="F119"/>
  <c r="DV119" s="1"/>
  <c r="D119"/>
  <c r="C119"/>
  <c r="DV114"/>
  <c r="DU114"/>
  <c r="DP114"/>
  <c r="DO114"/>
  <c r="BB114"/>
  <c r="BA114"/>
  <c r="AZ114"/>
  <c r="AY114"/>
  <c r="D114"/>
  <c r="C114"/>
  <c r="DU113"/>
  <c r="DS113"/>
  <c r="DM113"/>
  <c r="DK113"/>
  <c r="DE113"/>
  <c r="CY113"/>
  <c r="CS113"/>
  <c r="CM113"/>
  <c r="CG113"/>
  <c r="CA113"/>
  <c r="BU113"/>
  <c r="BO113"/>
  <c r="BI113"/>
  <c r="BA113"/>
  <c r="C113"/>
  <c r="E113" s="1"/>
  <c r="AW113" s="1"/>
  <c r="DR112"/>
  <c r="DQ112"/>
  <c r="DP112"/>
  <c r="DO112"/>
  <c r="DN112"/>
  <c r="DM112"/>
  <c r="DH112"/>
  <c r="DG112"/>
  <c r="DB112"/>
  <c r="DA112"/>
  <c r="CV112"/>
  <c r="CU112"/>
  <c r="CP112"/>
  <c r="CO112"/>
  <c r="CJ112"/>
  <c r="CI112"/>
  <c r="CD112"/>
  <c r="CC112"/>
  <c r="BX112"/>
  <c r="BW112"/>
  <c r="BR112"/>
  <c r="BQ112"/>
  <c r="BL112"/>
  <c r="BK112"/>
  <c r="BF112"/>
  <c r="BE112"/>
  <c r="BD112"/>
  <c r="BC112"/>
  <c r="AZ112"/>
  <c r="AY112"/>
  <c r="AX112"/>
  <c r="AW112"/>
  <c r="AT112"/>
  <c r="AS112"/>
  <c r="AP112"/>
  <c r="AO112"/>
  <c r="AL112"/>
  <c r="AK112"/>
  <c r="AH112"/>
  <c r="AG112"/>
  <c r="AD112"/>
  <c r="AC112"/>
  <c r="Z112"/>
  <c r="Y112"/>
  <c r="V112"/>
  <c r="U112"/>
  <c r="R112"/>
  <c r="Q112"/>
  <c r="N112"/>
  <c r="M112"/>
  <c r="J112"/>
  <c r="I112"/>
  <c r="H112"/>
  <c r="G112"/>
  <c r="D112"/>
  <c r="C112"/>
  <c r="DR111"/>
  <c r="DQ111"/>
  <c r="DP111"/>
  <c r="DO111"/>
  <c r="DN111"/>
  <c r="DM111"/>
  <c r="DH111"/>
  <c r="DG111"/>
  <c r="DB111"/>
  <c r="DA111"/>
  <c r="CV111"/>
  <c r="CU111"/>
  <c r="CP111"/>
  <c r="CO111"/>
  <c r="CJ111"/>
  <c r="CI111"/>
  <c r="CD111"/>
  <c r="CC111"/>
  <c r="BX111"/>
  <c r="BW111"/>
  <c r="BR111"/>
  <c r="BQ111"/>
  <c r="BL111"/>
  <c r="BK111"/>
  <c r="BF111"/>
  <c r="BE111"/>
  <c r="BD111"/>
  <c r="BC111"/>
  <c r="AZ111"/>
  <c r="AY111"/>
  <c r="AX111"/>
  <c r="AW111"/>
  <c r="AT111"/>
  <c r="AS111"/>
  <c r="AP111"/>
  <c r="AO111"/>
  <c r="AL111"/>
  <c r="AK111"/>
  <c r="AH111"/>
  <c r="AG111"/>
  <c r="AD111"/>
  <c r="AC111"/>
  <c r="Z111"/>
  <c r="Y111"/>
  <c r="V111"/>
  <c r="U111"/>
  <c r="R111"/>
  <c r="Q111"/>
  <c r="N111"/>
  <c r="M111"/>
  <c r="J111"/>
  <c r="I111"/>
  <c r="H111"/>
  <c r="G111"/>
  <c r="D111"/>
  <c r="C111"/>
  <c r="DR110"/>
  <c r="DQ110"/>
  <c r="DP110"/>
  <c r="DO110"/>
  <c r="DN110"/>
  <c r="DM110"/>
  <c r="DH110"/>
  <c r="DG110"/>
  <c r="DB110"/>
  <c r="DA110"/>
  <c r="CV110"/>
  <c r="CU110"/>
  <c r="CP110"/>
  <c r="CO110"/>
  <c r="CJ110"/>
  <c r="CI110"/>
  <c r="CD110"/>
  <c r="CC110"/>
  <c r="BX110"/>
  <c r="BW110"/>
  <c r="BR110"/>
  <c r="BQ110"/>
  <c r="BL110"/>
  <c r="BK110"/>
  <c r="BF110"/>
  <c r="BE110"/>
  <c r="BD110"/>
  <c r="BC110"/>
  <c r="AZ110"/>
  <c r="AY110"/>
  <c r="AX110"/>
  <c r="AW110"/>
  <c r="AT110"/>
  <c r="AS110"/>
  <c r="AP110"/>
  <c r="AO110"/>
  <c r="AL110"/>
  <c r="AK110"/>
  <c r="AH110"/>
  <c r="AG110"/>
  <c r="AD110"/>
  <c r="AC110"/>
  <c r="Z110"/>
  <c r="Y110"/>
  <c r="V110"/>
  <c r="U110"/>
  <c r="R110"/>
  <c r="Q110"/>
  <c r="N110"/>
  <c r="M110"/>
  <c r="J110"/>
  <c r="I110"/>
  <c r="H110"/>
  <c r="G110"/>
  <c r="D110"/>
  <c r="C110"/>
  <c r="DR109"/>
  <c r="DQ109"/>
  <c r="DP109"/>
  <c r="DO109"/>
  <c r="DN109"/>
  <c r="DM109"/>
  <c r="DH109"/>
  <c r="DG109"/>
  <c r="DB109"/>
  <c r="DA109"/>
  <c r="CV109"/>
  <c r="CU109"/>
  <c r="CP109"/>
  <c r="CO109"/>
  <c r="CJ109"/>
  <c r="CI109"/>
  <c r="CD109"/>
  <c r="CC109"/>
  <c r="BX109"/>
  <c r="BW109"/>
  <c r="BR109"/>
  <c r="BQ109"/>
  <c r="BL109"/>
  <c r="BK109"/>
  <c r="BF109"/>
  <c r="BE109"/>
  <c r="BD109"/>
  <c r="BC109"/>
  <c r="AZ109"/>
  <c r="AY109"/>
  <c r="AX109"/>
  <c r="AW109"/>
  <c r="AT109"/>
  <c r="AS109"/>
  <c r="AP109"/>
  <c r="AO109"/>
  <c r="AL109"/>
  <c r="AK109"/>
  <c r="AH109"/>
  <c r="AG109"/>
  <c r="AD109"/>
  <c r="AC109"/>
  <c r="Z109"/>
  <c r="Y109"/>
  <c r="V109"/>
  <c r="U109"/>
  <c r="R109"/>
  <c r="Q109"/>
  <c r="N109"/>
  <c r="M109"/>
  <c r="J109"/>
  <c r="I109"/>
  <c r="H109"/>
  <c r="G109"/>
  <c r="D109"/>
  <c r="C109"/>
  <c r="DR108"/>
  <c r="DQ108"/>
  <c r="DP108"/>
  <c r="DO108"/>
  <c r="DN108"/>
  <c r="DM108"/>
  <c r="DH108"/>
  <c r="DG108"/>
  <c r="DB108"/>
  <c r="DA108"/>
  <c r="CV108"/>
  <c r="CU108"/>
  <c r="CP108"/>
  <c r="CO108"/>
  <c r="CJ108"/>
  <c r="CI108"/>
  <c r="CD108"/>
  <c r="CC108"/>
  <c r="BX108"/>
  <c r="BW108"/>
  <c r="BR108"/>
  <c r="BQ108"/>
  <c r="BL108"/>
  <c r="BK108"/>
  <c r="BF108"/>
  <c r="BE108"/>
  <c r="BD108"/>
  <c r="BC108"/>
  <c r="AZ108"/>
  <c r="AY108"/>
  <c r="AX108"/>
  <c r="AW108"/>
  <c r="AT108"/>
  <c r="AS108"/>
  <c r="AP108"/>
  <c r="AO108"/>
  <c r="AL108"/>
  <c r="AK108"/>
  <c r="AH108"/>
  <c r="AG108"/>
  <c r="AD108"/>
  <c r="AC108"/>
  <c r="Z108"/>
  <c r="Y108"/>
  <c r="V108"/>
  <c r="U108"/>
  <c r="R108"/>
  <c r="Q108"/>
  <c r="N108"/>
  <c r="M108"/>
  <c r="J108"/>
  <c r="I108"/>
  <c r="H108"/>
  <c r="G108"/>
  <c r="D108"/>
  <c r="C108"/>
  <c r="DR107"/>
  <c r="DQ107"/>
  <c r="DP107"/>
  <c r="DO107"/>
  <c r="DN107"/>
  <c r="DM107"/>
  <c r="DH107"/>
  <c r="DG107"/>
  <c r="DB107"/>
  <c r="DA107"/>
  <c r="CV107"/>
  <c r="CU107"/>
  <c r="CP107"/>
  <c r="CO107"/>
  <c r="CJ107"/>
  <c r="CI107"/>
  <c r="CD107"/>
  <c r="CC107"/>
  <c r="BX107"/>
  <c r="BW107"/>
  <c r="BR107"/>
  <c r="BQ107"/>
  <c r="BL107"/>
  <c r="BK107"/>
  <c r="BF107"/>
  <c r="BE107"/>
  <c r="BD107"/>
  <c r="BC107"/>
  <c r="AZ107"/>
  <c r="AY107"/>
  <c r="AX107"/>
  <c r="AW107"/>
  <c r="AT107"/>
  <c r="AS107"/>
  <c r="AP107"/>
  <c r="AO107"/>
  <c r="AL107"/>
  <c r="AK107"/>
  <c r="AH107"/>
  <c r="AG107"/>
  <c r="AD107"/>
  <c r="AC107"/>
  <c r="Z107"/>
  <c r="Y107"/>
  <c r="V107"/>
  <c r="U107"/>
  <c r="R107"/>
  <c r="Q107"/>
  <c r="N107"/>
  <c r="M107"/>
  <c r="J107"/>
  <c r="I107"/>
  <c r="H107"/>
  <c r="G107"/>
  <c r="D107"/>
  <c r="C107"/>
  <c r="DR106"/>
  <c r="DQ106"/>
  <c r="DP106"/>
  <c r="DO106"/>
  <c r="DN106"/>
  <c r="DM106"/>
  <c r="DH106"/>
  <c r="DG106"/>
  <c r="DB106"/>
  <c r="DA106"/>
  <c r="CV106"/>
  <c r="CU106"/>
  <c r="CP106"/>
  <c r="CO106"/>
  <c r="CJ106"/>
  <c r="CI106"/>
  <c r="CD106"/>
  <c r="CC106"/>
  <c r="BX106"/>
  <c r="BW106"/>
  <c r="BR106"/>
  <c r="BQ106"/>
  <c r="BL106"/>
  <c r="BK106"/>
  <c r="BF106"/>
  <c r="BE106"/>
  <c r="BD106"/>
  <c r="BC106"/>
  <c r="AZ106"/>
  <c r="AY106"/>
  <c r="AX106"/>
  <c r="AW106"/>
  <c r="AT106"/>
  <c r="AS106"/>
  <c r="AP106"/>
  <c r="AO106"/>
  <c r="AL106"/>
  <c r="AK106"/>
  <c r="AH106"/>
  <c r="AG106"/>
  <c r="AD106"/>
  <c r="AC106"/>
  <c r="Z106"/>
  <c r="Y106"/>
  <c r="V106"/>
  <c r="U106"/>
  <c r="R106"/>
  <c r="Q106"/>
  <c r="N106"/>
  <c r="M106"/>
  <c r="J106"/>
  <c r="I106"/>
  <c r="H106"/>
  <c r="G106"/>
  <c r="D106"/>
  <c r="C106"/>
  <c r="DR105"/>
  <c r="DQ105"/>
  <c r="DP105"/>
  <c r="DO105"/>
  <c r="DN105"/>
  <c r="DM105"/>
  <c r="DH105"/>
  <c r="DG105"/>
  <c r="DB105"/>
  <c r="DA105"/>
  <c r="CV105"/>
  <c r="CU105"/>
  <c r="CP105"/>
  <c r="CO105"/>
  <c r="CJ105"/>
  <c r="CI105"/>
  <c r="CD105"/>
  <c r="CC105"/>
  <c r="BX105"/>
  <c r="BW105"/>
  <c r="BR105"/>
  <c r="BQ105"/>
  <c r="BL105"/>
  <c r="BK105"/>
  <c r="BF105"/>
  <c r="BE105"/>
  <c r="BD105"/>
  <c r="BC105"/>
  <c r="AZ105"/>
  <c r="AY105"/>
  <c r="AX105"/>
  <c r="AW105"/>
  <c r="AT105"/>
  <c r="AS105"/>
  <c r="AP105"/>
  <c r="AO105"/>
  <c r="AL105"/>
  <c r="AK105"/>
  <c r="AH105"/>
  <c r="AG105"/>
  <c r="AD105"/>
  <c r="AC105"/>
  <c r="Z105"/>
  <c r="Y105"/>
  <c r="V105"/>
  <c r="U105"/>
  <c r="R105"/>
  <c r="Q105"/>
  <c r="N105"/>
  <c r="M105"/>
  <c r="J105"/>
  <c r="I105"/>
  <c r="H105"/>
  <c r="G105"/>
  <c r="D105"/>
  <c r="C105"/>
  <c r="DR104"/>
  <c r="DQ104"/>
  <c r="DP104"/>
  <c r="DO104"/>
  <c r="DN104"/>
  <c r="DM104"/>
  <c r="DH104"/>
  <c r="DG104"/>
  <c r="DB104"/>
  <c r="DA104"/>
  <c r="CV104"/>
  <c r="CU104"/>
  <c r="CP104"/>
  <c r="CO104"/>
  <c r="CJ104"/>
  <c r="CI104"/>
  <c r="CD104"/>
  <c r="CC104"/>
  <c r="BX104"/>
  <c r="BW104"/>
  <c r="BR104"/>
  <c r="BQ104"/>
  <c r="BL104"/>
  <c r="BK104"/>
  <c r="BF104"/>
  <c r="BE104"/>
  <c r="BD104"/>
  <c r="BC104"/>
  <c r="AZ104"/>
  <c r="DT104" s="1"/>
  <c r="AY104"/>
  <c r="DS104" s="1"/>
  <c r="AX104"/>
  <c r="AW104"/>
  <c r="AT104"/>
  <c r="AS104"/>
  <c r="AP104"/>
  <c r="AO104"/>
  <c r="AL104"/>
  <c r="AK104"/>
  <c r="AH104"/>
  <c r="AG104"/>
  <c r="AD104"/>
  <c r="AC104"/>
  <c r="Z104"/>
  <c r="Y104"/>
  <c r="V104"/>
  <c r="U104"/>
  <c r="R104"/>
  <c r="Q104"/>
  <c r="N104"/>
  <c r="M104"/>
  <c r="J104"/>
  <c r="I104"/>
  <c r="H104"/>
  <c r="G104"/>
  <c r="D104"/>
  <c r="C104"/>
  <c r="DR103"/>
  <c r="DQ103"/>
  <c r="DP103"/>
  <c r="DO103"/>
  <c r="DN103"/>
  <c r="DM103"/>
  <c r="DH103"/>
  <c r="DG103"/>
  <c r="DB103"/>
  <c r="DA103"/>
  <c r="CV103"/>
  <c r="CU103"/>
  <c r="CP103"/>
  <c r="CO103"/>
  <c r="CJ103"/>
  <c r="CI103"/>
  <c r="CD103"/>
  <c r="CC103"/>
  <c r="BX103"/>
  <c r="BW103"/>
  <c r="BR103"/>
  <c r="BQ103"/>
  <c r="BL103"/>
  <c r="BK103"/>
  <c r="BF103"/>
  <c r="BE103"/>
  <c r="BD103"/>
  <c r="BC103"/>
  <c r="AZ103"/>
  <c r="DT103" s="1"/>
  <c r="AY103"/>
  <c r="DS103" s="1"/>
  <c r="AX103"/>
  <c r="AW103"/>
  <c r="AT103"/>
  <c r="AS103"/>
  <c r="AP103"/>
  <c r="AO103"/>
  <c r="AL103"/>
  <c r="AK103"/>
  <c r="AH103"/>
  <c r="AG103"/>
  <c r="AD103"/>
  <c r="AC103"/>
  <c r="Z103"/>
  <c r="Y103"/>
  <c r="V103"/>
  <c r="U103"/>
  <c r="R103"/>
  <c r="Q103"/>
  <c r="N103"/>
  <c r="M103"/>
  <c r="J103"/>
  <c r="I103"/>
  <c r="H103"/>
  <c r="G103"/>
  <c r="D103"/>
  <c r="C103"/>
  <c r="DR102"/>
  <c r="DQ102"/>
  <c r="DP102"/>
  <c r="DO102"/>
  <c r="DN102"/>
  <c r="DM102"/>
  <c r="DH102"/>
  <c r="DG102"/>
  <c r="DB102"/>
  <c r="DA102"/>
  <c r="CV102"/>
  <c r="CU102"/>
  <c r="CP102"/>
  <c r="CO102"/>
  <c r="CJ102"/>
  <c r="CI102"/>
  <c r="CD102"/>
  <c r="CC102"/>
  <c r="BX102"/>
  <c r="BW102"/>
  <c r="BR102"/>
  <c r="BQ102"/>
  <c r="BL102"/>
  <c r="BK102"/>
  <c r="BF102"/>
  <c r="BE102"/>
  <c r="BD102"/>
  <c r="BC102"/>
  <c r="AZ102"/>
  <c r="AY102"/>
  <c r="DS102" s="1"/>
  <c r="AX102"/>
  <c r="AW102"/>
  <c r="AT102"/>
  <c r="AS102"/>
  <c r="AP102"/>
  <c r="AO102"/>
  <c r="AL102"/>
  <c r="AK102"/>
  <c r="AH102"/>
  <c r="AG102"/>
  <c r="AD102"/>
  <c r="AC102"/>
  <c r="Z102"/>
  <c r="Y102"/>
  <c r="V102"/>
  <c r="U102"/>
  <c r="R102"/>
  <c r="Q102"/>
  <c r="N102"/>
  <c r="M102"/>
  <c r="J102"/>
  <c r="I102"/>
  <c r="H102"/>
  <c r="G102"/>
  <c r="D102"/>
  <c r="C102"/>
  <c r="DR100"/>
  <c r="DQ100"/>
  <c r="DP100"/>
  <c r="DO100"/>
  <c r="DN100"/>
  <c r="DM100"/>
  <c r="DH100"/>
  <c r="DG100"/>
  <c r="DB100"/>
  <c r="DA100"/>
  <c r="CV100"/>
  <c r="CU100"/>
  <c r="CP100"/>
  <c r="CO100"/>
  <c r="CJ100"/>
  <c r="CI100"/>
  <c r="CD100"/>
  <c r="CC100"/>
  <c r="BX100"/>
  <c r="BW100"/>
  <c r="BR100"/>
  <c r="BQ100"/>
  <c r="BL100"/>
  <c r="BK100"/>
  <c r="BF100"/>
  <c r="BE100"/>
  <c r="BD100"/>
  <c r="BC100"/>
  <c r="AZ100"/>
  <c r="AY100"/>
  <c r="AX100"/>
  <c r="AW100"/>
  <c r="AT100"/>
  <c r="AS100"/>
  <c r="AP100"/>
  <c r="AO100"/>
  <c r="AL100"/>
  <c r="AK100"/>
  <c r="AH100"/>
  <c r="AG100"/>
  <c r="AD100"/>
  <c r="AC100"/>
  <c r="Z100"/>
  <c r="Y100"/>
  <c r="V100"/>
  <c r="U100"/>
  <c r="R100"/>
  <c r="Q100"/>
  <c r="N100"/>
  <c r="M100"/>
  <c r="J100"/>
  <c r="I100"/>
  <c r="H100"/>
  <c r="G100"/>
  <c r="D100"/>
  <c r="C100"/>
  <c r="DR99"/>
  <c r="DQ99"/>
  <c r="DP99"/>
  <c r="DO99"/>
  <c r="DN99"/>
  <c r="DM99"/>
  <c r="DH99"/>
  <c r="DG99"/>
  <c r="DB99"/>
  <c r="DA99"/>
  <c r="CV99"/>
  <c r="CU99"/>
  <c r="CP99"/>
  <c r="CO99"/>
  <c r="CJ99"/>
  <c r="CI99"/>
  <c r="CD99"/>
  <c r="CC99"/>
  <c r="BX99"/>
  <c r="BW99"/>
  <c r="BR99"/>
  <c r="BQ99"/>
  <c r="BL99"/>
  <c r="BK99"/>
  <c r="BF99"/>
  <c r="BE99"/>
  <c r="BD99"/>
  <c r="BC99"/>
  <c r="AZ99"/>
  <c r="AY99"/>
  <c r="AX99"/>
  <c r="AW99"/>
  <c r="AT99"/>
  <c r="AS99"/>
  <c r="AP99"/>
  <c r="AO99"/>
  <c r="AL99"/>
  <c r="AK99"/>
  <c r="AH99"/>
  <c r="AG99"/>
  <c r="AD99"/>
  <c r="AC99"/>
  <c r="Z99"/>
  <c r="Y99"/>
  <c r="V99"/>
  <c r="U99"/>
  <c r="R99"/>
  <c r="Q99"/>
  <c r="N99"/>
  <c r="M99"/>
  <c r="J99"/>
  <c r="I99"/>
  <c r="H99"/>
  <c r="G99"/>
  <c r="D99"/>
  <c r="C99"/>
  <c r="DR98"/>
  <c r="DQ98"/>
  <c r="DP98"/>
  <c r="DO98"/>
  <c r="DN98"/>
  <c r="DM98"/>
  <c r="DH98"/>
  <c r="DG98"/>
  <c r="DB98"/>
  <c r="DA98"/>
  <c r="CV98"/>
  <c r="CU98"/>
  <c r="CP98"/>
  <c r="CO98"/>
  <c r="CJ98"/>
  <c r="CI98"/>
  <c r="CD98"/>
  <c r="CC98"/>
  <c r="BX98"/>
  <c r="BW98"/>
  <c r="BR98"/>
  <c r="BQ98"/>
  <c r="BL98"/>
  <c r="BK98"/>
  <c r="BF98"/>
  <c r="BE98"/>
  <c r="BD98"/>
  <c r="BC98"/>
  <c r="AZ98"/>
  <c r="AY98"/>
  <c r="AX98"/>
  <c r="AW98"/>
  <c r="AT98"/>
  <c r="AS98"/>
  <c r="AP98"/>
  <c r="AO98"/>
  <c r="AL98"/>
  <c r="AK98"/>
  <c r="AH98"/>
  <c r="AG98"/>
  <c r="AD98"/>
  <c r="AC98"/>
  <c r="Z98"/>
  <c r="Y98"/>
  <c r="V98"/>
  <c r="U98"/>
  <c r="R98"/>
  <c r="Q98"/>
  <c r="N98"/>
  <c r="M98"/>
  <c r="J98"/>
  <c r="I98"/>
  <c r="H98"/>
  <c r="G98"/>
  <c r="D98"/>
  <c r="C98"/>
  <c r="DR97"/>
  <c r="DQ97"/>
  <c r="DP97"/>
  <c r="DO97"/>
  <c r="DN97"/>
  <c r="DM97"/>
  <c r="DH97"/>
  <c r="DG97"/>
  <c r="DB97"/>
  <c r="DA97"/>
  <c r="CV97"/>
  <c r="CU97"/>
  <c r="CP97"/>
  <c r="CO97"/>
  <c r="CJ97"/>
  <c r="CI97"/>
  <c r="CD97"/>
  <c r="CC97"/>
  <c r="BX97"/>
  <c r="BW97"/>
  <c r="BR97"/>
  <c r="BQ97"/>
  <c r="BL97"/>
  <c r="BK97"/>
  <c r="BF97"/>
  <c r="BE97"/>
  <c r="BD97"/>
  <c r="BC97"/>
  <c r="AZ97"/>
  <c r="AY97"/>
  <c r="AX97"/>
  <c r="AW97"/>
  <c r="AT97"/>
  <c r="AS97"/>
  <c r="AP97"/>
  <c r="AO97"/>
  <c r="AL97"/>
  <c r="AK97"/>
  <c r="AH97"/>
  <c r="AG97"/>
  <c r="AD97"/>
  <c r="AC97"/>
  <c r="Z97"/>
  <c r="Y97"/>
  <c r="V97"/>
  <c r="U97"/>
  <c r="R97"/>
  <c r="Q97"/>
  <c r="N97"/>
  <c r="M97"/>
  <c r="J97"/>
  <c r="I97"/>
  <c r="H97"/>
  <c r="G97"/>
  <c r="D97"/>
  <c r="C97"/>
  <c r="DR96"/>
  <c r="DQ96"/>
  <c r="DP96"/>
  <c r="DO96"/>
  <c r="DN96"/>
  <c r="DM96"/>
  <c r="DH96"/>
  <c r="DG96"/>
  <c r="DB96"/>
  <c r="DA96"/>
  <c r="CV96"/>
  <c r="CU96"/>
  <c r="CP96"/>
  <c r="CO96"/>
  <c r="CJ96"/>
  <c r="CI96"/>
  <c r="CD96"/>
  <c r="CC96"/>
  <c r="BX96"/>
  <c r="BW96"/>
  <c r="BR96"/>
  <c r="BQ96"/>
  <c r="BL96"/>
  <c r="BK96"/>
  <c r="BF96"/>
  <c r="BE96"/>
  <c r="BD96"/>
  <c r="BC96"/>
  <c r="AZ96"/>
  <c r="DT100" s="1"/>
  <c r="AY96"/>
  <c r="DS100" s="1"/>
  <c r="AX96"/>
  <c r="AW96"/>
  <c r="AT96"/>
  <c r="AS96"/>
  <c r="AP96"/>
  <c r="AO96"/>
  <c r="AL96"/>
  <c r="AK96"/>
  <c r="AH96"/>
  <c r="AG96"/>
  <c r="AD96"/>
  <c r="AC96"/>
  <c r="Z96"/>
  <c r="Y96"/>
  <c r="V96"/>
  <c r="U96"/>
  <c r="R96"/>
  <c r="Q96"/>
  <c r="N96"/>
  <c r="M96"/>
  <c r="J96"/>
  <c r="I96"/>
  <c r="H96"/>
  <c r="G96"/>
  <c r="D96"/>
  <c r="C96"/>
  <c r="DR95"/>
  <c r="DQ95"/>
  <c r="DP95"/>
  <c r="DO95"/>
  <c r="DN95"/>
  <c r="DM95"/>
  <c r="DH95"/>
  <c r="DG95"/>
  <c r="DB95"/>
  <c r="DA95"/>
  <c r="CV95"/>
  <c r="CU95"/>
  <c r="CP95"/>
  <c r="CO95"/>
  <c r="CJ95"/>
  <c r="CI95"/>
  <c r="CD95"/>
  <c r="CC95"/>
  <c r="BX95"/>
  <c r="BW95"/>
  <c r="BR95"/>
  <c r="BQ95"/>
  <c r="BL95"/>
  <c r="BK95"/>
  <c r="BF95"/>
  <c r="BE95"/>
  <c r="BD95"/>
  <c r="BC95"/>
  <c r="AZ95"/>
  <c r="DT95" s="1"/>
  <c r="AY95"/>
  <c r="DS95" s="1"/>
  <c r="AX95"/>
  <c r="AW95"/>
  <c r="AT95"/>
  <c r="AS95"/>
  <c r="AP95"/>
  <c r="AO95"/>
  <c r="AL95"/>
  <c r="AK95"/>
  <c r="AH95"/>
  <c r="AG95"/>
  <c r="AD95"/>
  <c r="AC95"/>
  <c r="Z95"/>
  <c r="Y95"/>
  <c r="V95"/>
  <c r="U95"/>
  <c r="R95"/>
  <c r="Q95"/>
  <c r="N95"/>
  <c r="M95"/>
  <c r="J95"/>
  <c r="I95"/>
  <c r="H95"/>
  <c r="G95"/>
  <c r="D95"/>
  <c r="C95"/>
  <c r="DR93"/>
  <c r="DQ93"/>
  <c r="DP93"/>
  <c r="DO93"/>
  <c r="DN93"/>
  <c r="DM93"/>
  <c r="DH93"/>
  <c r="DG93"/>
  <c r="DB93"/>
  <c r="DA93"/>
  <c r="CV93"/>
  <c r="CU93"/>
  <c r="CP93"/>
  <c r="CO93"/>
  <c r="CJ93"/>
  <c r="CI93"/>
  <c r="CD93"/>
  <c r="CC93"/>
  <c r="BX93"/>
  <c r="BW93"/>
  <c r="BR93"/>
  <c r="BQ93"/>
  <c r="BL93"/>
  <c r="BK93"/>
  <c r="BF93"/>
  <c r="BE93"/>
  <c r="BD93"/>
  <c r="BC93"/>
  <c r="AZ93"/>
  <c r="DT93" s="1"/>
  <c r="AY93"/>
  <c r="DS93" s="1"/>
  <c r="AX93"/>
  <c r="AW93"/>
  <c r="AT93"/>
  <c r="AS93"/>
  <c r="AP93"/>
  <c r="AO93"/>
  <c r="AL93"/>
  <c r="AK93"/>
  <c r="AH93"/>
  <c r="AG93"/>
  <c r="AD93"/>
  <c r="AC93"/>
  <c r="Z93"/>
  <c r="Y93"/>
  <c r="V93"/>
  <c r="U93"/>
  <c r="R93"/>
  <c r="Q93"/>
  <c r="N93"/>
  <c r="M93"/>
  <c r="J93"/>
  <c r="I93"/>
  <c r="H93"/>
  <c r="G93"/>
  <c r="D93"/>
  <c r="C93"/>
  <c r="DR92"/>
  <c r="DQ92"/>
  <c r="DP92"/>
  <c r="DO92"/>
  <c r="DN92"/>
  <c r="DM92"/>
  <c r="DH92"/>
  <c r="DG92"/>
  <c r="DB92"/>
  <c r="DA92"/>
  <c r="CV92"/>
  <c r="CU92"/>
  <c r="CP92"/>
  <c r="CO92"/>
  <c r="CJ92"/>
  <c r="CI92"/>
  <c r="CD92"/>
  <c r="CC92"/>
  <c r="BX92"/>
  <c r="BW92"/>
  <c r="BR92"/>
  <c r="BQ92"/>
  <c r="BL92"/>
  <c r="BK92"/>
  <c r="BF92"/>
  <c r="BE92"/>
  <c r="BD92"/>
  <c r="BC92"/>
  <c r="AZ92"/>
  <c r="DT92" s="1"/>
  <c r="AY92"/>
  <c r="DS92" s="1"/>
  <c r="AX92"/>
  <c r="AW92"/>
  <c r="AT92"/>
  <c r="AS92"/>
  <c r="AP92"/>
  <c r="AO92"/>
  <c r="AL92"/>
  <c r="AK92"/>
  <c r="AH92"/>
  <c r="AG92"/>
  <c r="AD92"/>
  <c r="AC92"/>
  <c r="Z92"/>
  <c r="Y92"/>
  <c r="V92"/>
  <c r="U92"/>
  <c r="R92"/>
  <c r="Q92"/>
  <c r="N92"/>
  <c r="M92"/>
  <c r="J92"/>
  <c r="I92"/>
  <c r="H92"/>
  <c r="G92"/>
  <c r="D92"/>
  <c r="C92"/>
  <c r="DR86"/>
  <c r="DQ86"/>
  <c r="DP86"/>
  <c r="DO86"/>
  <c r="DN86"/>
  <c r="DM86"/>
  <c r="DH86"/>
  <c r="DG86"/>
  <c r="DB86"/>
  <c r="DA86"/>
  <c r="CV86"/>
  <c r="CU86"/>
  <c r="CP86"/>
  <c r="CO86"/>
  <c r="CJ86"/>
  <c r="CI86"/>
  <c r="CD86"/>
  <c r="CC86"/>
  <c r="BX86"/>
  <c r="BW86"/>
  <c r="BR86"/>
  <c r="BQ86"/>
  <c r="BL86"/>
  <c r="BK86"/>
  <c r="BF86"/>
  <c r="BE86"/>
  <c r="BD86"/>
  <c r="BC86"/>
  <c r="AZ86"/>
  <c r="AY86"/>
  <c r="AX86"/>
  <c r="AW86"/>
  <c r="AT86"/>
  <c r="AS86"/>
  <c r="AP86"/>
  <c r="AO86"/>
  <c r="AL86"/>
  <c r="AK86"/>
  <c r="AH86"/>
  <c r="AG86"/>
  <c r="AD86"/>
  <c r="AC86"/>
  <c r="Z86"/>
  <c r="Y86"/>
  <c r="V86"/>
  <c r="U86"/>
  <c r="R86"/>
  <c r="Q86"/>
  <c r="N86"/>
  <c r="M86"/>
  <c r="J86"/>
  <c r="I86"/>
  <c r="H86"/>
  <c r="G86"/>
  <c r="D86"/>
  <c r="C86"/>
  <c r="DR85"/>
  <c r="DQ85"/>
  <c r="DQ84" s="1"/>
  <c r="DP85"/>
  <c r="DO85"/>
  <c r="DN85"/>
  <c r="DM85"/>
  <c r="DM84" s="1"/>
  <c r="DH85"/>
  <c r="DG85"/>
  <c r="DB85"/>
  <c r="DA85"/>
  <c r="DA84" s="1"/>
  <c r="CV85"/>
  <c r="CU85"/>
  <c r="CP85"/>
  <c r="CP84" s="1"/>
  <c r="CO85"/>
  <c r="CO84" s="1"/>
  <c r="CJ85"/>
  <c r="CI85"/>
  <c r="CD85"/>
  <c r="CC85"/>
  <c r="CC84" s="1"/>
  <c r="BX85"/>
  <c r="BW85"/>
  <c r="BR85"/>
  <c r="BR84" s="1"/>
  <c r="BQ85"/>
  <c r="BQ84" s="1"/>
  <c r="BL85"/>
  <c r="BK85"/>
  <c r="BF85"/>
  <c r="BE85"/>
  <c r="BE84" s="1"/>
  <c r="BD85"/>
  <c r="BD84" s="1"/>
  <c r="BC85"/>
  <c r="AZ85"/>
  <c r="DT85" s="1"/>
  <c r="AY85"/>
  <c r="AX85"/>
  <c r="AW85"/>
  <c r="AT85"/>
  <c r="AS85"/>
  <c r="AS84" s="1"/>
  <c r="AP85"/>
  <c r="AO85"/>
  <c r="AL85"/>
  <c r="AL84" s="1"/>
  <c r="AK85"/>
  <c r="AK84" s="1"/>
  <c r="AH85"/>
  <c r="AG85"/>
  <c r="AD85"/>
  <c r="AC85"/>
  <c r="AC84" s="1"/>
  <c r="Z85"/>
  <c r="Y85"/>
  <c r="V85"/>
  <c r="U85"/>
  <c r="U84" s="1"/>
  <c r="R85"/>
  <c r="R84" s="1"/>
  <c r="Q85"/>
  <c r="N85"/>
  <c r="M85"/>
  <c r="M84" s="1"/>
  <c r="J85"/>
  <c r="I85"/>
  <c r="H85"/>
  <c r="H84" s="1"/>
  <c r="G85"/>
  <c r="D85"/>
  <c r="D84" s="1"/>
  <c r="C85"/>
  <c r="C84" s="1"/>
  <c r="DN84"/>
  <c r="DR83"/>
  <c r="DQ83"/>
  <c r="DP83"/>
  <c r="DO83"/>
  <c r="DN83"/>
  <c r="DM83"/>
  <c r="DH83"/>
  <c r="DG83"/>
  <c r="DB83"/>
  <c r="DA83"/>
  <c r="CV83"/>
  <c r="CU83"/>
  <c r="CP83"/>
  <c r="CO83"/>
  <c r="CJ83"/>
  <c r="CI83"/>
  <c r="CD83"/>
  <c r="CC83"/>
  <c r="BX83"/>
  <c r="BW83"/>
  <c r="BR83"/>
  <c r="BQ83"/>
  <c r="BL83"/>
  <c r="BK83"/>
  <c r="BF83"/>
  <c r="BE83"/>
  <c r="BD83"/>
  <c r="BC83"/>
  <c r="AZ83"/>
  <c r="DT83" s="1"/>
  <c r="AY83"/>
  <c r="DS83" s="1"/>
  <c r="AX83"/>
  <c r="AW83"/>
  <c r="AT83"/>
  <c r="AS83"/>
  <c r="AP83"/>
  <c r="AO83"/>
  <c r="AL83"/>
  <c r="AK83"/>
  <c r="AH83"/>
  <c r="AG83"/>
  <c r="AD83"/>
  <c r="AC83"/>
  <c r="Z83"/>
  <c r="Y83"/>
  <c r="V83"/>
  <c r="U83"/>
  <c r="R83"/>
  <c r="Q83"/>
  <c r="N83"/>
  <c r="M83"/>
  <c r="J83"/>
  <c r="I83"/>
  <c r="H83"/>
  <c r="G83"/>
  <c r="D83"/>
  <c r="C83"/>
  <c r="DR82"/>
  <c r="DQ82"/>
  <c r="DP82"/>
  <c r="DO82"/>
  <c r="DN82"/>
  <c r="DM82"/>
  <c r="DH82"/>
  <c r="DG82"/>
  <c r="DB82"/>
  <c r="DA82"/>
  <c r="CV82"/>
  <c r="CU82"/>
  <c r="CP82"/>
  <c r="CO82"/>
  <c r="CJ82"/>
  <c r="CI82"/>
  <c r="CD82"/>
  <c r="CC82"/>
  <c r="BX82"/>
  <c r="BW82"/>
  <c r="BR82"/>
  <c r="BQ82"/>
  <c r="BL82"/>
  <c r="BK82"/>
  <c r="BF82"/>
  <c r="BE82"/>
  <c r="BD82"/>
  <c r="BC82"/>
  <c r="AZ82"/>
  <c r="DT82" s="1"/>
  <c r="AY82"/>
  <c r="DS82" s="1"/>
  <c r="AX82"/>
  <c r="AW82"/>
  <c r="AT82"/>
  <c r="AS82"/>
  <c r="AP82"/>
  <c r="AO82"/>
  <c r="AL82"/>
  <c r="AK82"/>
  <c r="AH82"/>
  <c r="AG82"/>
  <c r="AD82"/>
  <c r="AC82"/>
  <c r="Z82"/>
  <c r="Y82"/>
  <c r="V82"/>
  <c r="U82"/>
  <c r="R82"/>
  <c r="Q82"/>
  <c r="N82"/>
  <c r="M82"/>
  <c r="J82"/>
  <c r="I82"/>
  <c r="H82"/>
  <c r="G82"/>
  <c r="D82"/>
  <c r="C82"/>
  <c r="DR80"/>
  <c r="DQ80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BL80"/>
  <c r="BK80"/>
  <c r="BF80"/>
  <c r="BE80"/>
  <c r="BD80"/>
  <c r="BC80"/>
  <c r="AZ80"/>
  <c r="DT80" s="1"/>
  <c r="AY80"/>
  <c r="DS80" s="1"/>
  <c r="AX80"/>
  <c r="AW80"/>
  <c r="AT80"/>
  <c r="AS80"/>
  <c r="AP80"/>
  <c r="AO80"/>
  <c r="AL80"/>
  <c r="AK80"/>
  <c r="AH80"/>
  <c r="AG80"/>
  <c r="AD80"/>
  <c r="AC80"/>
  <c r="Z80"/>
  <c r="Y80"/>
  <c r="V80"/>
  <c r="U80"/>
  <c r="R80"/>
  <c r="Q80"/>
  <c r="N80"/>
  <c r="M80"/>
  <c r="J80"/>
  <c r="I80"/>
  <c r="H80"/>
  <c r="G80"/>
  <c r="D80"/>
  <c r="C80"/>
  <c r="DR79"/>
  <c r="DQ79"/>
  <c r="DP79"/>
  <c r="DO79"/>
  <c r="DN79"/>
  <c r="DM79"/>
  <c r="DH79"/>
  <c r="DG79"/>
  <c r="DB79"/>
  <c r="DA79"/>
  <c r="CV79"/>
  <c r="CU79"/>
  <c r="CP79"/>
  <c r="CP78" s="1"/>
  <c r="CO79"/>
  <c r="CJ79"/>
  <c r="CI79"/>
  <c r="CD79"/>
  <c r="CC79"/>
  <c r="BX79"/>
  <c r="BW79"/>
  <c r="BR79"/>
  <c r="BQ79"/>
  <c r="BL79"/>
  <c r="BK79"/>
  <c r="BF79"/>
  <c r="BE79"/>
  <c r="BD79"/>
  <c r="BC79"/>
  <c r="AZ79"/>
  <c r="DT79" s="1"/>
  <c r="AY79"/>
  <c r="DS79" s="1"/>
  <c r="AX79"/>
  <c r="AW79"/>
  <c r="AT79"/>
  <c r="AS79"/>
  <c r="AP79"/>
  <c r="AO79"/>
  <c r="AL79"/>
  <c r="AK79"/>
  <c r="AH79"/>
  <c r="AG79"/>
  <c r="AD79"/>
  <c r="AC79"/>
  <c r="Z79"/>
  <c r="Y79"/>
  <c r="V79"/>
  <c r="U79"/>
  <c r="R79"/>
  <c r="Q79"/>
  <c r="N79"/>
  <c r="M79"/>
  <c r="J79"/>
  <c r="I79"/>
  <c r="H79"/>
  <c r="G79"/>
  <c r="D79"/>
  <c r="D78" s="1"/>
  <c r="C79"/>
  <c r="DR73"/>
  <c r="DQ73"/>
  <c r="DP73"/>
  <c r="DO73"/>
  <c r="DN73"/>
  <c r="DM73"/>
  <c r="DL73"/>
  <c r="DK73"/>
  <c r="DH73"/>
  <c r="DG73"/>
  <c r="DF73"/>
  <c r="DE73"/>
  <c r="DB73"/>
  <c r="DA73"/>
  <c r="CZ73"/>
  <c r="CY73"/>
  <c r="CV73"/>
  <c r="CU73"/>
  <c r="CT73"/>
  <c r="CS73"/>
  <c r="CP73"/>
  <c r="CO73"/>
  <c r="CN73"/>
  <c r="CM73"/>
  <c r="CJ73"/>
  <c r="CI73"/>
  <c r="CH73"/>
  <c r="CG73"/>
  <c r="CD73"/>
  <c r="CC73"/>
  <c r="CB73"/>
  <c r="CA73"/>
  <c r="BX73"/>
  <c r="BW73"/>
  <c r="BV73"/>
  <c r="BU73"/>
  <c r="BR73"/>
  <c r="BQ73"/>
  <c r="BP73"/>
  <c r="BO73"/>
  <c r="BL73"/>
  <c r="BK73"/>
  <c r="BF73"/>
  <c r="BE73"/>
  <c r="BD73"/>
  <c r="BC73"/>
  <c r="AZ73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D73"/>
  <c r="C73"/>
  <c r="DR72"/>
  <c r="DQ72"/>
  <c r="DP72"/>
  <c r="DO72"/>
  <c r="DN72"/>
  <c r="DM72"/>
  <c r="DL72"/>
  <c r="DK72"/>
  <c r="DH72"/>
  <c r="DG72"/>
  <c r="DF72"/>
  <c r="DE72"/>
  <c r="DB72"/>
  <c r="DA72"/>
  <c r="CZ72"/>
  <c r="CY72"/>
  <c r="CV72"/>
  <c r="CU72"/>
  <c r="CT72"/>
  <c r="CS72"/>
  <c r="CP72"/>
  <c r="CO72"/>
  <c r="CN72"/>
  <c r="CM72"/>
  <c r="CJ72"/>
  <c r="CI72"/>
  <c r="CH72"/>
  <c r="CG72"/>
  <c r="CD72"/>
  <c r="CC72"/>
  <c r="CB72"/>
  <c r="CA72"/>
  <c r="BX72"/>
  <c r="BW72"/>
  <c r="BV72"/>
  <c r="BU72"/>
  <c r="BR72"/>
  <c r="BQ72"/>
  <c r="BP72"/>
  <c r="BO72"/>
  <c r="BL72"/>
  <c r="BK72"/>
  <c r="BF72"/>
  <c r="BE72"/>
  <c r="BD72"/>
  <c r="BC72"/>
  <c r="AZ72"/>
  <c r="AY72"/>
  <c r="AX72"/>
  <c r="AW72"/>
  <c r="AT72"/>
  <c r="AS72"/>
  <c r="AP72"/>
  <c r="AO72"/>
  <c r="AL72"/>
  <c r="AK72"/>
  <c r="AH72"/>
  <c r="AG72"/>
  <c r="AD72"/>
  <c r="AC72"/>
  <c r="Z72"/>
  <c r="Y72"/>
  <c r="V72"/>
  <c r="U72"/>
  <c r="R72"/>
  <c r="Q72"/>
  <c r="N72"/>
  <c r="M72"/>
  <c r="J72"/>
  <c r="I72"/>
  <c r="H72"/>
  <c r="G72"/>
  <c r="D72"/>
  <c r="C72"/>
  <c r="DR71"/>
  <c r="DQ71"/>
  <c r="DP71"/>
  <c r="DO71"/>
  <c r="DN71"/>
  <c r="DM71"/>
  <c r="DL71"/>
  <c r="DK71"/>
  <c r="DH71"/>
  <c r="DG71"/>
  <c r="DF71"/>
  <c r="DE71"/>
  <c r="DB71"/>
  <c r="DA71"/>
  <c r="CZ71"/>
  <c r="CY71"/>
  <c r="CV71"/>
  <c r="CU71"/>
  <c r="CT71"/>
  <c r="CS71"/>
  <c r="CP71"/>
  <c r="CO71"/>
  <c r="CN71"/>
  <c r="CM71"/>
  <c r="CJ71"/>
  <c r="CI71"/>
  <c r="CH71"/>
  <c r="CG71"/>
  <c r="CD71"/>
  <c r="CC71"/>
  <c r="CB71"/>
  <c r="CA71"/>
  <c r="BX71"/>
  <c r="BW71"/>
  <c r="BV71"/>
  <c r="BU71"/>
  <c r="BR71"/>
  <c r="BQ71"/>
  <c r="BP71"/>
  <c r="BO71"/>
  <c r="BL71"/>
  <c r="BK71"/>
  <c r="BF71"/>
  <c r="BE71"/>
  <c r="BD71"/>
  <c r="BC71"/>
  <c r="AZ71"/>
  <c r="AY71"/>
  <c r="AX71"/>
  <c r="AW71"/>
  <c r="AT71"/>
  <c r="AS71"/>
  <c r="AP71"/>
  <c r="AO71"/>
  <c r="AL71"/>
  <c r="AK71"/>
  <c r="AH71"/>
  <c r="AG71"/>
  <c r="AD71"/>
  <c r="AC71"/>
  <c r="Z71"/>
  <c r="Y71"/>
  <c r="V71"/>
  <c r="U71"/>
  <c r="R71"/>
  <c r="Q71"/>
  <c r="N71"/>
  <c r="M71"/>
  <c r="J71"/>
  <c r="I71"/>
  <c r="H71"/>
  <c r="G71"/>
  <c r="D71"/>
  <c r="C71"/>
  <c r="DR70"/>
  <c r="DQ70"/>
  <c r="DP70"/>
  <c r="DO70"/>
  <c r="DN70"/>
  <c r="DM70"/>
  <c r="DL70"/>
  <c r="DK70"/>
  <c r="DH70"/>
  <c r="DG70"/>
  <c r="DF70"/>
  <c r="DE70"/>
  <c r="DB70"/>
  <c r="DA70"/>
  <c r="CZ70"/>
  <c r="CY70"/>
  <c r="CV70"/>
  <c r="CU70"/>
  <c r="CT70"/>
  <c r="CS70"/>
  <c r="CP70"/>
  <c r="CO70"/>
  <c r="CN70"/>
  <c r="CM70"/>
  <c r="CJ70"/>
  <c r="CI70"/>
  <c r="CH70"/>
  <c r="CG70"/>
  <c r="CD70"/>
  <c r="CC70"/>
  <c r="CB70"/>
  <c r="CA70"/>
  <c r="BX70"/>
  <c r="BW70"/>
  <c r="BV70"/>
  <c r="BU70"/>
  <c r="BR70"/>
  <c r="BQ70"/>
  <c r="BP70"/>
  <c r="BO70"/>
  <c r="BL70"/>
  <c r="BK70"/>
  <c r="BF70"/>
  <c r="BE70"/>
  <c r="BD70"/>
  <c r="BC70"/>
  <c r="AZ70"/>
  <c r="AY70"/>
  <c r="AX70"/>
  <c r="AW70"/>
  <c r="AT70"/>
  <c r="AS70"/>
  <c r="AP70"/>
  <c r="AO70"/>
  <c r="AL70"/>
  <c r="AK70"/>
  <c r="AH70"/>
  <c r="AG70"/>
  <c r="AD70"/>
  <c r="AC70"/>
  <c r="Z70"/>
  <c r="Y70"/>
  <c r="V70"/>
  <c r="U70"/>
  <c r="R70"/>
  <c r="Q70"/>
  <c r="N70"/>
  <c r="M70"/>
  <c r="J70"/>
  <c r="I70"/>
  <c r="H70"/>
  <c r="G70"/>
  <c r="D70"/>
  <c r="C70"/>
  <c r="DR69"/>
  <c r="DQ69"/>
  <c r="DP69"/>
  <c r="DO69"/>
  <c r="DN69"/>
  <c r="DM69"/>
  <c r="DL69"/>
  <c r="DK69"/>
  <c r="DH69"/>
  <c r="DG69"/>
  <c r="DF69"/>
  <c r="DE69"/>
  <c r="DB69"/>
  <c r="DA69"/>
  <c r="CZ69"/>
  <c r="CY69"/>
  <c r="CV69"/>
  <c r="CU69"/>
  <c r="CT69"/>
  <c r="CS69"/>
  <c r="CP69"/>
  <c r="CO69"/>
  <c r="CN69"/>
  <c r="CM69"/>
  <c r="CJ69"/>
  <c r="CI69"/>
  <c r="CH69"/>
  <c r="CG69"/>
  <c r="CD69"/>
  <c r="CC69"/>
  <c r="CB69"/>
  <c r="CA69"/>
  <c r="BX69"/>
  <c r="BW69"/>
  <c r="BV69"/>
  <c r="BU69"/>
  <c r="BR69"/>
  <c r="BQ69"/>
  <c r="BP69"/>
  <c r="BO69"/>
  <c r="BL69"/>
  <c r="BK69"/>
  <c r="BF69"/>
  <c r="BE69"/>
  <c r="BD69"/>
  <c r="BC69"/>
  <c r="AZ69"/>
  <c r="AY69"/>
  <c r="AX69"/>
  <c r="AW69"/>
  <c r="AT69"/>
  <c r="AS69"/>
  <c r="AP69"/>
  <c r="AO69"/>
  <c r="AL69"/>
  <c r="AK69"/>
  <c r="AH69"/>
  <c r="AG69"/>
  <c r="AD69"/>
  <c r="AC69"/>
  <c r="Z69"/>
  <c r="Y69"/>
  <c r="V69"/>
  <c r="U69"/>
  <c r="R69"/>
  <c r="Q69"/>
  <c r="N69"/>
  <c r="M69"/>
  <c r="J69"/>
  <c r="I69"/>
  <c r="H69"/>
  <c r="G69"/>
  <c r="D69"/>
  <c r="C69"/>
  <c r="DR68"/>
  <c r="DQ68"/>
  <c r="DP68"/>
  <c r="DO68"/>
  <c r="DN68"/>
  <c r="DM68"/>
  <c r="DL68"/>
  <c r="DK68"/>
  <c r="DH68"/>
  <c r="DG68"/>
  <c r="DF68"/>
  <c r="DE68"/>
  <c r="DB68"/>
  <c r="DA68"/>
  <c r="CZ68"/>
  <c r="CY68"/>
  <c r="CV68"/>
  <c r="CU68"/>
  <c r="CT68"/>
  <c r="CS68"/>
  <c r="CP68"/>
  <c r="CO68"/>
  <c r="CN68"/>
  <c r="CM68"/>
  <c r="CJ68"/>
  <c r="CI68"/>
  <c r="CH68"/>
  <c r="CG68"/>
  <c r="CD68"/>
  <c r="CC68"/>
  <c r="CB68"/>
  <c r="CA68"/>
  <c r="BX68"/>
  <c r="BW68"/>
  <c r="BV68"/>
  <c r="BU68"/>
  <c r="BR68"/>
  <c r="BQ68"/>
  <c r="BP68"/>
  <c r="BO68"/>
  <c r="BL68"/>
  <c r="BK68"/>
  <c r="BF68"/>
  <c r="BE68"/>
  <c r="BD68"/>
  <c r="BC68"/>
  <c r="AZ68"/>
  <c r="AY68"/>
  <c r="AX68"/>
  <c r="AW68"/>
  <c r="AT68"/>
  <c r="AS68"/>
  <c r="AP68"/>
  <c r="AO68"/>
  <c r="AL68"/>
  <c r="AK68"/>
  <c r="AH68"/>
  <c r="AG68"/>
  <c r="AD68"/>
  <c r="AC68"/>
  <c r="Z68"/>
  <c r="Y68"/>
  <c r="V68"/>
  <c r="U68"/>
  <c r="R68"/>
  <c r="Q68"/>
  <c r="N68"/>
  <c r="M68"/>
  <c r="J68"/>
  <c r="I68"/>
  <c r="H68"/>
  <c r="G68"/>
  <c r="D68"/>
  <c r="C68"/>
  <c r="DR67"/>
  <c r="DQ67"/>
  <c r="DP67"/>
  <c r="DO67"/>
  <c r="DN67"/>
  <c r="DM67"/>
  <c r="DL67"/>
  <c r="DK67"/>
  <c r="DH67"/>
  <c r="DG67"/>
  <c r="DF67"/>
  <c r="DE67"/>
  <c r="DB67"/>
  <c r="DA67"/>
  <c r="CZ67"/>
  <c r="CY67"/>
  <c r="CV67"/>
  <c r="CU67"/>
  <c r="CT67"/>
  <c r="CS67"/>
  <c r="CP67"/>
  <c r="CO67"/>
  <c r="CN67"/>
  <c r="CM67"/>
  <c r="CJ67"/>
  <c r="CI67"/>
  <c r="CH67"/>
  <c r="CG67"/>
  <c r="CD67"/>
  <c r="CC67"/>
  <c r="CB67"/>
  <c r="CA67"/>
  <c r="BX67"/>
  <c r="BW67"/>
  <c r="BV67"/>
  <c r="BU67"/>
  <c r="BR67"/>
  <c r="BQ67"/>
  <c r="BP67"/>
  <c r="BO67"/>
  <c r="BL67"/>
  <c r="BK67"/>
  <c r="BF67"/>
  <c r="BE67"/>
  <c r="BD67"/>
  <c r="BC67"/>
  <c r="AZ67"/>
  <c r="AY67"/>
  <c r="AX67"/>
  <c r="AW67"/>
  <c r="AT67"/>
  <c r="AS67"/>
  <c r="AP67"/>
  <c r="AO67"/>
  <c r="AL67"/>
  <c r="AK67"/>
  <c r="AH67"/>
  <c r="AG67"/>
  <c r="AD67"/>
  <c r="AC67"/>
  <c r="Z67"/>
  <c r="Y67"/>
  <c r="V67"/>
  <c r="U67"/>
  <c r="R67"/>
  <c r="Q67"/>
  <c r="N67"/>
  <c r="M67"/>
  <c r="J67"/>
  <c r="I67"/>
  <c r="H67"/>
  <c r="G67"/>
  <c r="D67"/>
  <c r="C67"/>
  <c r="DR66"/>
  <c r="DQ66"/>
  <c r="DP66"/>
  <c r="DO66"/>
  <c r="DN66"/>
  <c r="DM66"/>
  <c r="DL66"/>
  <c r="DK66"/>
  <c r="DH66"/>
  <c r="DG66"/>
  <c r="DF66"/>
  <c r="DE66"/>
  <c r="DB66"/>
  <c r="DA66"/>
  <c r="CZ66"/>
  <c r="CY66"/>
  <c r="CV66"/>
  <c r="CU66"/>
  <c r="CT66"/>
  <c r="CS66"/>
  <c r="CP66"/>
  <c r="CO66"/>
  <c r="CN66"/>
  <c r="CM66"/>
  <c r="CJ66"/>
  <c r="CI66"/>
  <c r="CH66"/>
  <c r="CG66"/>
  <c r="CD66"/>
  <c r="CC66"/>
  <c r="CB66"/>
  <c r="CA66"/>
  <c r="BX66"/>
  <c r="BW66"/>
  <c r="BV66"/>
  <c r="BU66"/>
  <c r="BR66"/>
  <c r="BQ66"/>
  <c r="BP66"/>
  <c r="BO66"/>
  <c r="BL66"/>
  <c r="BK66"/>
  <c r="BF66"/>
  <c r="BE66"/>
  <c r="BD66"/>
  <c r="BC66"/>
  <c r="AZ66"/>
  <c r="AY66"/>
  <c r="AX66"/>
  <c r="AW66"/>
  <c r="AT66"/>
  <c r="AS66"/>
  <c r="AP66"/>
  <c r="AO66"/>
  <c r="AL66"/>
  <c r="AK66"/>
  <c r="AH66"/>
  <c r="AG66"/>
  <c r="AD66"/>
  <c r="AC66"/>
  <c r="Z66"/>
  <c r="Y66"/>
  <c r="V66"/>
  <c r="U66"/>
  <c r="R66"/>
  <c r="Q66"/>
  <c r="N66"/>
  <c r="M66"/>
  <c r="J66"/>
  <c r="I66"/>
  <c r="H66"/>
  <c r="G66"/>
  <c r="D66"/>
  <c r="C66"/>
  <c r="DR65"/>
  <c r="DQ65"/>
  <c r="DP65"/>
  <c r="DO65"/>
  <c r="DN65"/>
  <c r="DM65"/>
  <c r="DL65"/>
  <c r="DK65"/>
  <c r="DH65"/>
  <c r="DG65"/>
  <c r="DF65"/>
  <c r="DE65"/>
  <c r="DB65"/>
  <c r="DA65"/>
  <c r="CZ65"/>
  <c r="CY65"/>
  <c r="CV65"/>
  <c r="CU65"/>
  <c r="CT65"/>
  <c r="CS65"/>
  <c r="CP65"/>
  <c r="CO65"/>
  <c r="CN65"/>
  <c r="CM65"/>
  <c r="CJ65"/>
  <c r="CI65"/>
  <c r="CH65"/>
  <c r="CG65"/>
  <c r="CD65"/>
  <c r="CC65"/>
  <c r="CB65"/>
  <c r="CA65"/>
  <c r="BX65"/>
  <c r="BW65"/>
  <c r="BV65"/>
  <c r="BU65"/>
  <c r="BR65"/>
  <c r="BQ65"/>
  <c r="BP65"/>
  <c r="BO65"/>
  <c r="BL65"/>
  <c r="BK65"/>
  <c r="BF65"/>
  <c r="BE65"/>
  <c r="BD65"/>
  <c r="BC65"/>
  <c r="AZ65"/>
  <c r="AY65"/>
  <c r="AX65"/>
  <c r="AW65"/>
  <c r="AT65"/>
  <c r="AS65"/>
  <c r="AP65"/>
  <c r="AO65"/>
  <c r="AL65"/>
  <c r="AK65"/>
  <c r="AH65"/>
  <c r="AG65"/>
  <c r="AD65"/>
  <c r="AC65"/>
  <c r="Z65"/>
  <c r="Y65"/>
  <c r="V65"/>
  <c r="U65"/>
  <c r="R65"/>
  <c r="Q65"/>
  <c r="N65"/>
  <c r="M65"/>
  <c r="J65"/>
  <c r="I65"/>
  <c r="H65"/>
  <c r="G65"/>
  <c r="D65"/>
  <c r="C65"/>
  <c r="DR64"/>
  <c r="DQ64"/>
  <c r="DP64"/>
  <c r="DO64"/>
  <c r="DN64"/>
  <c r="DM64"/>
  <c r="DL64"/>
  <c r="DK64"/>
  <c r="DH64"/>
  <c r="DG64"/>
  <c r="DF64"/>
  <c r="DE64"/>
  <c r="DB64"/>
  <c r="DA64"/>
  <c r="CZ64"/>
  <c r="CY64"/>
  <c r="CV64"/>
  <c r="CU64"/>
  <c r="CT64"/>
  <c r="CS64"/>
  <c r="CP64"/>
  <c r="CO64"/>
  <c r="CN64"/>
  <c r="CM64"/>
  <c r="CJ64"/>
  <c r="CI64"/>
  <c r="CH64"/>
  <c r="CG64"/>
  <c r="CD64"/>
  <c r="CC64"/>
  <c r="CB64"/>
  <c r="CA64"/>
  <c r="BX64"/>
  <c r="BW64"/>
  <c r="BV64"/>
  <c r="BU64"/>
  <c r="BR64"/>
  <c r="BQ64"/>
  <c r="BP64"/>
  <c r="BO64"/>
  <c r="BL64"/>
  <c r="BK64"/>
  <c r="BF64"/>
  <c r="BE64"/>
  <c r="BD64"/>
  <c r="BC64"/>
  <c r="AZ64"/>
  <c r="AY64"/>
  <c r="AX64"/>
  <c r="AW64"/>
  <c r="AT64"/>
  <c r="AS64"/>
  <c r="AP64"/>
  <c r="AO64"/>
  <c r="AL64"/>
  <c r="AK64"/>
  <c r="AH64"/>
  <c r="AG64"/>
  <c r="AD64"/>
  <c r="AC64"/>
  <c r="Z64"/>
  <c r="Y64"/>
  <c r="V64"/>
  <c r="U64"/>
  <c r="R64"/>
  <c r="Q64"/>
  <c r="N64"/>
  <c r="M64"/>
  <c r="J64"/>
  <c r="I64"/>
  <c r="H64"/>
  <c r="G64"/>
  <c r="D64"/>
  <c r="C64"/>
  <c r="DR63"/>
  <c r="DQ63"/>
  <c r="DP63"/>
  <c r="DO63"/>
  <c r="DN63"/>
  <c r="DM63"/>
  <c r="DL63"/>
  <c r="DK63"/>
  <c r="DH63"/>
  <c r="DG63"/>
  <c r="DF63"/>
  <c r="DE63"/>
  <c r="DB63"/>
  <c r="DA63"/>
  <c r="CZ63"/>
  <c r="CY63"/>
  <c r="CV63"/>
  <c r="CU63"/>
  <c r="CT63"/>
  <c r="CS63"/>
  <c r="CP63"/>
  <c r="CO63"/>
  <c r="CN63"/>
  <c r="CM63"/>
  <c r="CJ63"/>
  <c r="CI63"/>
  <c r="CH63"/>
  <c r="CG63"/>
  <c r="CD63"/>
  <c r="CC63"/>
  <c r="CB63"/>
  <c r="CA63"/>
  <c r="BX63"/>
  <c r="BW63"/>
  <c r="BV63"/>
  <c r="BU63"/>
  <c r="BR63"/>
  <c r="BQ63"/>
  <c r="BP63"/>
  <c r="BO63"/>
  <c r="BL63"/>
  <c r="BK63"/>
  <c r="BF63"/>
  <c r="BE63"/>
  <c r="BD63"/>
  <c r="BC63"/>
  <c r="AZ63"/>
  <c r="DT73" s="1"/>
  <c r="AY63"/>
  <c r="DS73" s="1"/>
  <c r="AX63"/>
  <c r="AW63"/>
  <c r="AT63"/>
  <c r="AS63"/>
  <c r="AP63"/>
  <c r="AO63"/>
  <c r="AL63"/>
  <c r="AK63"/>
  <c r="AH63"/>
  <c r="AG63"/>
  <c r="AD63"/>
  <c r="AC63"/>
  <c r="Z63"/>
  <c r="Y63"/>
  <c r="V63"/>
  <c r="U63"/>
  <c r="R63"/>
  <c r="Q63"/>
  <c r="N63"/>
  <c r="M63"/>
  <c r="J63"/>
  <c r="I63"/>
  <c r="H63"/>
  <c r="G63"/>
  <c r="D63"/>
  <c r="C63"/>
  <c r="DR62"/>
  <c r="DQ62"/>
  <c r="DP62"/>
  <c r="DO62"/>
  <c r="DN62"/>
  <c r="DM62"/>
  <c r="DL62"/>
  <c r="DK62"/>
  <c r="DH62"/>
  <c r="DG62"/>
  <c r="DF62"/>
  <c r="DE62"/>
  <c r="DB62"/>
  <c r="DA62"/>
  <c r="CZ62"/>
  <c r="CY62"/>
  <c r="CV62"/>
  <c r="CU62"/>
  <c r="CT62"/>
  <c r="CS62"/>
  <c r="CP62"/>
  <c r="CO62"/>
  <c r="CN62"/>
  <c r="CM62"/>
  <c r="CJ62"/>
  <c r="CI62"/>
  <c r="CH62"/>
  <c r="CG62"/>
  <c r="CD62"/>
  <c r="CC62"/>
  <c r="CB62"/>
  <c r="CA62"/>
  <c r="BX62"/>
  <c r="BW62"/>
  <c r="BV62"/>
  <c r="BU62"/>
  <c r="BR62"/>
  <c r="BQ62"/>
  <c r="BP62"/>
  <c r="BO62"/>
  <c r="BL62"/>
  <c r="BK62"/>
  <c r="BF62"/>
  <c r="BE62"/>
  <c r="BD62"/>
  <c r="BC62"/>
  <c r="AZ62"/>
  <c r="DT62" s="1"/>
  <c r="AY62"/>
  <c r="DS62" s="1"/>
  <c r="AX62"/>
  <c r="AW62"/>
  <c r="AT62"/>
  <c r="AS62"/>
  <c r="AP62"/>
  <c r="AO62"/>
  <c r="AL62"/>
  <c r="AK62"/>
  <c r="AH62"/>
  <c r="AG62"/>
  <c r="AD62"/>
  <c r="AC62"/>
  <c r="Z62"/>
  <c r="Y62"/>
  <c r="V62"/>
  <c r="U62"/>
  <c r="R62"/>
  <c r="Q62"/>
  <c r="N62"/>
  <c r="M62"/>
  <c r="J62"/>
  <c r="I62"/>
  <c r="H62"/>
  <c r="G62"/>
  <c r="D62"/>
  <c r="C62"/>
  <c r="DR61"/>
  <c r="DQ61"/>
  <c r="DP61"/>
  <c r="DO61"/>
  <c r="DN61"/>
  <c r="DM61"/>
  <c r="DH61"/>
  <c r="DG61"/>
  <c r="DB61"/>
  <c r="DA61"/>
  <c r="CV61"/>
  <c r="CU61"/>
  <c r="CP61"/>
  <c r="CO61"/>
  <c r="CJ61"/>
  <c r="CI61"/>
  <c r="CD61"/>
  <c r="CC61"/>
  <c r="BX61"/>
  <c r="BW61"/>
  <c r="BR61"/>
  <c r="BQ61"/>
  <c r="BL61"/>
  <c r="BK61"/>
  <c r="BF61"/>
  <c r="BE61"/>
  <c r="BD61"/>
  <c r="BC61"/>
  <c r="AZ61"/>
  <c r="DT61" s="1"/>
  <c r="AY61"/>
  <c r="DS61" s="1"/>
  <c r="AX61"/>
  <c r="AW61"/>
  <c r="AT61"/>
  <c r="AS61"/>
  <c r="AP61"/>
  <c r="AO61"/>
  <c r="AL61"/>
  <c r="AK61"/>
  <c r="AH61"/>
  <c r="AG61"/>
  <c r="AD61"/>
  <c r="AC61"/>
  <c r="Z61"/>
  <c r="Y61"/>
  <c r="V61"/>
  <c r="U61"/>
  <c r="R61"/>
  <c r="Q61"/>
  <c r="N61"/>
  <c r="M61"/>
  <c r="J61"/>
  <c r="I61"/>
  <c r="H61"/>
  <c r="G61"/>
  <c r="D61"/>
  <c r="C61"/>
  <c r="DR60"/>
  <c r="DQ60"/>
  <c r="DP60"/>
  <c r="DO60"/>
  <c r="DN60"/>
  <c r="DM60"/>
  <c r="DL60"/>
  <c r="DK60"/>
  <c r="DH60"/>
  <c r="DG60"/>
  <c r="DF60"/>
  <c r="DE60"/>
  <c r="DB60"/>
  <c r="DA60"/>
  <c r="CZ60"/>
  <c r="CY60"/>
  <c r="CV60"/>
  <c r="CU60"/>
  <c r="CT60"/>
  <c r="CS60"/>
  <c r="CP60"/>
  <c r="CO60"/>
  <c r="CN60"/>
  <c r="CM60"/>
  <c r="CJ60"/>
  <c r="CI60"/>
  <c r="CH60"/>
  <c r="CG60"/>
  <c r="CD60"/>
  <c r="CC60"/>
  <c r="CB60"/>
  <c r="CA60"/>
  <c r="BX60"/>
  <c r="BW60"/>
  <c r="BV60"/>
  <c r="BU60"/>
  <c r="BR60"/>
  <c r="BQ60"/>
  <c r="BP60"/>
  <c r="BO60"/>
  <c r="BL60"/>
  <c r="BK60"/>
  <c r="BF60"/>
  <c r="BE60"/>
  <c r="BD60"/>
  <c r="BC60"/>
  <c r="AZ60"/>
  <c r="DT60" s="1"/>
  <c r="AY60"/>
  <c r="DS60" s="1"/>
  <c r="AX60"/>
  <c r="AW60"/>
  <c r="AT60"/>
  <c r="AS60"/>
  <c r="AP60"/>
  <c r="AO60"/>
  <c r="AL60"/>
  <c r="AK60"/>
  <c r="AH60"/>
  <c r="AG60"/>
  <c r="AD60"/>
  <c r="AC60"/>
  <c r="Z60"/>
  <c r="Y60"/>
  <c r="V60"/>
  <c r="U60"/>
  <c r="R60"/>
  <c r="Q60"/>
  <c r="N60"/>
  <c r="M60"/>
  <c r="J60"/>
  <c r="I60"/>
  <c r="H60"/>
  <c r="G60"/>
  <c r="D60"/>
  <c r="C60"/>
  <c r="DR59"/>
  <c r="DQ59"/>
  <c r="DP59"/>
  <c r="DO59"/>
  <c r="DN59"/>
  <c r="DM59"/>
  <c r="DL59"/>
  <c r="DK59"/>
  <c r="DH59"/>
  <c r="DG59"/>
  <c r="DF59"/>
  <c r="DE59"/>
  <c r="DB59"/>
  <c r="DA59"/>
  <c r="CZ59"/>
  <c r="CY59"/>
  <c r="CV59"/>
  <c r="CU59"/>
  <c r="CT59"/>
  <c r="CS59"/>
  <c r="CP59"/>
  <c r="CO59"/>
  <c r="CN59"/>
  <c r="CM59"/>
  <c r="CJ59"/>
  <c r="CI59"/>
  <c r="CH59"/>
  <c r="CG59"/>
  <c r="CD59"/>
  <c r="CC59"/>
  <c r="CB59"/>
  <c r="CA59"/>
  <c r="BX59"/>
  <c r="BW59"/>
  <c r="BV59"/>
  <c r="BU59"/>
  <c r="BR59"/>
  <c r="BQ59"/>
  <c r="BP59"/>
  <c r="BO59"/>
  <c r="BL59"/>
  <c r="BK59"/>
  <c r="BF59"/>
  <c r="BE59"/>
  <c r="BD59"/>
  <c r="BC59"/>
  <c r="AZ59"/>
  <c r="DT59" s="1"/>
  <c r="AY59"/>
  <c r="DS59" s="1"/>
  <c r="AX59"/>
  <c r="AW59"/>
  <c r="AT59"/>
  <c r="AS59"/>
  <c r="AP59"/>
  <c r="AO59"/>
  <c r="AL59"/>
  <c r="AK59"/>
  <c r="AH59"/>
  <c r="AG59"/>
  <c r="AD59"/>
  <c r="AC59"/>
  <c r="Z59"/>
  <c r="Y59"/>
  <c r="V59"/>
  <c r="U59"/>
  <c r="R59"/>
  <c r="Q59"/>
  <c r="N59"/>
  <c r="M59"/>
  <c r="J59"/>
  <c r="I59"/>
  <c r="H59"/>
  <c r="G59"/>
  <c r="D59"/>
  <c r="C59"/>
  <c r="DR58"/>
  <c r="DQ58"/>
  <c r="DP58"/>
  <c r="DO58"/>
  <c r="DN58"/>
  <c r="DM58"/>
  <c r="DH58"/>
  <c r="DG58"/>
  <c r="DB58"/>
  <c r="DA58"/>
  <c r="CV58"/>
  <c r="CU58"/>
  <c r="CP58"/>
  <c r="CO58"/>
  <c r="CJ58"/>
  <c r="CI58"/>
  <c r="CD58"/>
  <c r="CC58"/>
  <c r="BX58"/>
  <c r="BW58"/>
  <c r="BR58"/>
  <c r="BQ58"/>
  <c r="BL58"/>
  <c r="BK58"/>
  <c r="BF58"/>
  <c r="BE58"/>
  <c r="BD58"/>
  <c r="BC58"/>
  <c r="AZ58"/>
  <c r="DT58" s="1"/>
  <c r="AY58"/>
  <c r="DS58" s="1"/>
  <c r="AX58"/>
  <c r="AW58"/>
  <c r="AT58"/>
  <c r="AS58"/>
  <c r="AP58"/>
  <c r="AO58"/>
  <c r="AL58"/>
  <c r="AK58"/>
  <c r="AH58"/>
  <c r="AG58"/>
  <c r="AD58"/>
  <c r="AC58"/>
  <c r="Z58"/>
  <c r="Y58"/>
  <c r="V58"/>
  <c r="U58"/>
  <c r="R58"/>
  <c r="Q58"/>
  <c r="N58"/>
  <c r="M58"/>
  <c r="J58"/>
  <c r="I58"/>
  <c r="H58"/>
  <c r="G58"/>
  <c r="D58"/>
  <c r="C58"/>
  <c r="DR57"/>
  <c r="DQ57"/>
  <c r="DP57"/>
  <c r="DO57"/>
  <c r="DN57"/>
  <c r="DM57"/>
  <c r="DL57"/>
  <c r="DK57"/>
  <c r="DH57"/>
  <c r="DG57"/>
  <c r="DF57"/>
  <c r="DE57"/>
  <c r="DB57"/>
  <c r="DA57"/>
  <c r="CZ57"/>
  <c r="CY57"/>
  <c r="CV57"/>
  <c r="CU57"/>
  <c r="CT57"/>
  <c r="CS57"/>
  <c r="CP57"/>
  <c r="CO57"/>
  <c r="CN57"/>
  <c r="CM57"/>
  <c r="CJ57"/>
  <c r="CI57"/>
  <c r="CH57"/>
  <c r="CG57"/>
  <c r="CD57"/>
  <c r="CC57"/>
  <c r="CB57"/>
  <c r="CA57"/>
  <c r="BX57"/>
  <c r="BW57"/>
  <c r="BV57"/>
  <c r="BU57"/>
  <c r="BR57"/>
  <c r="BQ57"/>
  <c r="BP57"/>
  <c r="BO57"/>
  <c r="BL57"/>
  <c r="BK57"/>
  <c r="BF57"/>
  <c r="BE57"/>
  <c r="BD57"/>
  <c r="BC57"/>
  <c r="AZ57"/>
  <c r="DT57" s="1"/>
  <c r="AY57"/>
  <c r="DS57" s="1"/>
  <c r="AX57"/>
  <c r="AW57"/>
  <c r="AT57"/>
  <c r="AS57"/>
  <c r="AP57"/>
  <c r="AO57"/>
  <c r="AL57"/>
  <c r="AK57"/>
  <c r="AH57"/>
  <c r="AG57"/>
  <c r="AD57"/>
  <c r="AC57"/>
  <c r="Z57"/>
  <c r="Y57"/>
  <c r="V57"/>
  <c r="U57"/>
  <c r="R57"/>
  <c r="Q57"/>
  <c r="N57"/>
  <c r="M57"/>
  <c r="J57"/>
  <c r="I57"/>
  <c r="H57"/>
  <c r="G57"/>
  <c r="D57"/>
  <c r="C57"/>
  <c r="DR56"/>
  <c r="DQ56"/>
  <c r="DP56"/>
  <c r="DO56"/>
  <c r="DN56"/>
  <c r="DM56"/>
  <c r="DH56"/>
  <c r="DG56"/>
  <c r="DB56"/>
  <c r="DA56"/>
  <c r="CV56"/>
  <c r="CU56"/>
  <c r="CP56"/>
  <c r="CO56"/>
  <c r="CJ56"/>
  <c r="CI56"/>
  <c r="CD56"/>
  <c r="CC56"/>
  <c r="BX56"/>
  <c r="BW56"/>
  <c r="BR56"/>
  <c r="BQ56"/>
  <c r="BL56"/>
  <c r="BK56"/>
  <c r="BF56"/>
  <c r="BE56"/>
  <c r="BD56"/>
  <c r="BC56"/>
  <c r="AZ56"/>
  <c r="DT56" s="1"/>
  <c r="AY56"/>
  <c r="DS56" s="1"/>
  <c r="AX56"/>
  <c r="AW56"/>
  <c r="AT56"/>
  <c r="AS56"/>
  <c r="AP56"/>
  <c r="AO56"/>
  <c r="AL56"/>
  <c r="AK56"/>
  <c r="AH56"/>
  <c r="AG56"/>
  <c r="AD56"/>
  <c r="AC56"/>
  <c r="Z56"/>
  <c r="Y56"/>
  <c r="V56"/>
  <c r="U56"/>
  <c r="R56"/>
  <c r="Q56"/>
  <c r="N56"/>
  <c r="M56"/>
  <c r="J56"/>
  <c r="I56"/>
  <c r="H56"/>
  <c r="G56"/>
  <c r="D56"/>
  <c r="C56"/>
  <c r="DR55"/>
  <c r="DQ55"/>
  <c r="DP55"/>
  <c r="DO55"/>
  <c r="DN55"/>
  <c r="DM55"/>
  <c r="DH55"/>
  <c r="DG55"/>
  <c r="DB55"/>
  <c r="DA55"/>
  <c r="CV55"/>
  <c r="CU55"/>
  <c r="CP55"/>
  <c r="CO55"/>
  <c r="CJ55"/>
  <c r="CI55"/>
  <c r="CD55"/>
  <c r="CC55"/>
  <c r="BX55"/>
  <c r="BW55"/>
  <c r="BR55"/>
  <c r="BQ55"/>
  <c r="BL55"/>
  <c r="BK55"/>
  <c r="BF55"/>
  <c r="BE55"/>
  <c r="BD55"/>
  <c r="BC55"/>
  <c r="AZ55"/>
  <c r="DT55" s="1"/>
  <c r="AY55"/>
  <c r="DS55" s="1"/>
  <c r="AX55"/>
  <c r="AW55"/>
  <c r="AT55"/>
  <c r="AS55"/>
  <c r="AP55"/>
  <c r="AO55"/>
  <c r="AL55"/>
  <c r="AK55"/>
  <c r="AH55"/>
  <c r="AG55"/>
  <c r="AD55"/>
  <c r="AC55"/>
  <c r="Z55"/>
  <c r="Y55"/>
  <c r="V55"/>
  <c r="U55"/>
  <c r="R55"/>
  <c r="Q55"/>
  <c r="N55"/>
  <c r="M55"/>
  <c r="J55"/>
  <c r="I55"/>
  <c r="H55"/>
  <c r="G55"/>
  <c r="D55"/>
  <c r="C55"/>
  <c r="DR54"/>
  <c r="DQ54"/>
  <c r="DP54"/>
  <c r="DO54"/>
  <c r="DN54"/>
  <c r="DM54"/>
  <c r="DL54"/>
  <c r="DK54"/>
  <c r="DH54"/>
  <c r="DG54"/>
  <c r="DF54"/>
  <c r="DE54"/>
  <c r="DB54"/>
  <c r="DA54"/>
  <c r="CZ54"/>
  <c r="CY54"/>
  <c r="CV54"/>
  <c r="CU54"/>
  <c r="CT54"/>
  <c r="CS54"/>
  <c r="CP54"/>
  <c r="CO54"/>
  <c r="CN54"/>
  <c r="CM54"/>
  <c r="CJ54"/>
  <c r="CI54"/>
  <c r="CH54"/>
  <c r="CG54"/>
  <c r="CD54"/>
  <c r="CC54"/>
  <c r="CB54"/>
  <c r="CA54"/>
  <c r="BX54"/>
  <c r="BW54"/>
  <c r="BV54"/>
  <c r="BU54"/>
  <c r="BR54"/>
  <c r="BQ54"/>
  <c r="BP54"/>
  <c r="BO54"/>
  <c r="BL54"/>
  <c r="BK54"/>
  <c r="BF54"/>
  <c r="BE54"/>
  <c r="BD54"/>
  <c r="BC54"/>
  <c r="AZ54"/>
  <c r="DT54" s="1"/>
  <c r="AY54"/>
  <c r="DS54" s="1"/>
  <c r="AX54"/>
  <c r="AW54"/>
  <c r="AT54"/>
  <c r="AS54"/>
  <c r="AP54"/>
  <c r="AO54"/>
  <c r="AL54"/>
  <c r="AK54"/>
  <c r="AH54"/>
  <c r="AG54"/>
  <c r="AD54"/>
  <c r="AC54"/>
  <c r="Z54"/>
  <c r="Y54"/>
  <c r="V54"/>
  <c r="U54"/>
  <c r="R54"/>
  <c r="Q54"/>
  <c r="N54"/>
  <c r="M54"/>
  <c r="J54"/>
  <c r="I54"/>
  <c r="H54"/>
  <c r="G54"/>
  <c r="D54"/>
  <c r="C54"/>
  <c r="DR53"/>
  <c r="DQ53"/>
  <c r="DP53"/>
  <c r="DO53"/>
  <c r="DN53"/>
  <c r="DM53"/>
  <c r="DH53"/>
  <c r="DG53"/>
  <c r="DB53"/>
  <c r="DA53"/>
  <c r="CV53"/>
  <c r="CU53"/>
  <c r="CP53"/>
  <c r="CO53"/>
  <c r="CJ53"/>
  <c r="CI53"/>
  <c r="CD53"/>
  <c r="CC53"/>
  <c r="BX53"/>
  <c r="BW53"/>
  <c r="BR53"/>
  <c r="BQ53"/>
  <c r="BL53"/>
  <c r="BK53"/>
  <c r="BF53"/>
  <c r="BE53"/>
  <c r="BD53"/>
  <c r="BC53"/>
  <c r="AZ53"/>
  <c r="DT53" s="1"/>
  <c r="AY53"/>
  <c r="DS53" s="1"/>
  <c r="AX53"/>
  <c r="AW53"/>
  <c r="AT53"/>
  <c r="AS53"/>
  <c r="AP53"/>
  <c r="AO53"/>
  <c r="AL53"/>
  <c r="AK53"/>
  <c r="AH53"/>
  <c r="AG53"/>
  <c r="AD53"/>
  <c r="AC53"/>
  <c r="Z53"/>
  <c r="Y53"/>
  <c r="V53"/>
  <c r="U53"/>
  <c r="R53"/>
  <c r="Q53"/>
  <c r="N53"/>
  <c r="M53"/>
  <c r="J53"/>
  <c r="I53"/>
  <c r="H53"/>
  <c r="G53"/>
  <c r="D53"/>
  <c r="C53"/>
  <c r="DR52"/>
  <c r="DQ52"/>
  <c r="DP52"/>
  <c r="DO52"/>
  <c r="DN52"/>
  <c r="DM52"/>
  <c r="DL52"/>
  <c r="DK52"/>
  <c r="DH52"/>
  <c r="DG52"/>
  <c r="DF52"/>
  <c r="DE52"/>
  <c r="DB52"/>
  <c r="DA52"/>
  <c r="CZ52"/>
  <c r="CY52"/>
  <c r="CV52"/>
  <c r="CU52"/>
  <c r="CT52"/>
  <c r="CS52"/>
  <c r="CP52"/>
  <c r="CO52"/>
  <c r="CN52"/>
  <c r="CM52"/>
  <c r="CJ52"/>
  <c r="CI52"/>
  <c r="CH52"/>
  <c r="CG52"/>
  <c r="CD52"/>
  <c r="CC52"/>
  <c r="CB52"/>
  <c r="CA52"/>
  <c r="BX52"/>
  <c r="BW52"/>
  <c r="BV52"/>
  <c r="BU52"/>
  <c r="BR52"/>
  <c r="BQ52"/>
  <c r="BP52"/>
  <c r="BO52"/>
  <c r="BL52"/>
  <c r="BK52"/>
  <c r="BF52"/>
  <c r="BE52"/>
  <c r="BD52"/>
  <c r="BC52"/>
  <c r="AZ52"/>
  <c r="DT52" s="1"/>
  <c r="AY52"/>
  <c r="DS52" s="1"/>
  <c r="AX52"/>
  <c r="AW52"/>
  <c r="AT52"/>
  <c r="AS52"/>
  <c r="AP52"/>
  <c r="AO52"/>
  <c r="AL52"/>
  <c r="AK52"/>
  <c r="AH52"/>
  <c r="AG52"/>
  <c r="AD52"/>
  <c r="AC52"/>
  <c r="Z52"/>
  <c r="Y52"/>
  <c r="V52"/>
  <c r="U52"/>
  <c r="R52"/>
  <c r="Q52"/>
  <c r="N52"/>
  <c r="M52"/>
  <c r="J52"/>
  <c r="I52"/>
  <c r="H52"/>
  <c r="G52"/>
  <c r="D52"/>
  <c r="C52"/>
  <c r="DR51"/>
  <c r="DQ51"/>
  <c r="DP51"/>
  <c r="DO51"/>
  <c r="DN51"/>
  <c r="DM51"/>
  <c r="DL51"/>
  <c r="DK51"/>
  <c r="DH51"/>
  <c r="DG51"/>
  <c r="DF51"/>
  <c r="DE51"/>
  <c r="DB51"/>
  <c r="DA51"/>
  <c r="CZ51"/>
  <c r="CY51"/>
  <c r="CV51"/>
  <c r="CU51"/>
  <c r="CT51"/>
  <c r="CS51"/>
  <c r="CP51"/>
  <c r="CO51"/>
  <c r="CN51"/>
  <c r="CM51"/>
  <c r="CJ51"/>
  <c r="CI51"/>
  <c r="CH51"/>
  <c r="CG51"/>
  <c r="CD51"/>
  <c r="CC51"/>
  <c r="CB51"/>
  <c r="CA51"/>
  <c r="BX51"/>
  <c r="BW51"/>
  <c r="BV51"/>
  <c r="BU51"/>
  <c r="BR51"/>
  <c r="BQ51"/>
  <c r="BP51"/>
  <c r="BO51"/>
  <c r="BL51"/>
  <c r="BK51"/>
  <c r="BF51"/>
  <c r="BE51"/>
  <c r="BD51"/>
  <c r="BC51"/>
  <c r="AZ51"/>
  <c r="DT51" s="1"/>
  <c r="AY51"/>
  <c r="DS51" s="1"/>
  <c r="AX51"/>
  <c r="AW51"/>
  <c r="AT51"/>
  <c r="AS51"/>
  <c r="AP51"/>
  <c r="AO51"/>
  <c r="AL51"/>
  <c r="AK51"/>
  <c r="AH51"/>
  <c r="AG51"/>
  <c r="AD51"/>
  <c r="AC51"/>
  <c r="Z51"/>
  <c r="Y51"/>
  <c r="V51"/>
  <c r="U51"/>
  <c r="R51"/>
  <c r="Q51"/>
  <c r="N51"/>
  <c r="M51"/>
  <c r="J51"/>
  <c r="I51"/>
  <c r="H51"/>
  <c r="G51"/>
  <c r="D51"/>
  <c r="C51"/>
  <c r="DR50"/>
  <c r="DQ50"/>
  <c r="DP50"/>
  <c r="DO50"/>
  <c r="DN50"/>
  <c r="DM50"/>
  <c r="DL50"/>
  <c r="DK50"/>
  <c r="DH50"/>
  <c r="DG50"/>
  <c r="DF50"/>
  <c r="DE50"/>
  <c r="DB50"/>
  <c r="DA50"/>
  <c r="CZ50"/>
  <c r="CY50"/>
  <c r="CV50"/>
  <c r="CU50"/>
  <c r="CT50"/>
  <c r="CS50"/>
  <c r="CP50"/>
  <c r="CO50"/>
  <c r="CN50"/>
  <c r="CM50"/>
  <c r="CJ50"/>
  <c r="CI50"/>
  <c r="CH50"/>
  <c r="CG50"/>
  <c r="CD50"/>
  <c r="CC50"/>
  <c r="CB50"/>
  <c r="CA50"/>
  <c r="BX50"/>
  <c r="BW50"/>
  <c r="BV50"/>
  <c r="BU50"/>
  <c r="BR50"/>
  <c r="BQ50"/>
  <c r="BP50"/>
  <c r="BO50"/>
  <c r="BL50"/>
  <c r="BK50"/>
  <c r="BF50"/>
  <c r="BE50"/>
  <c r="BD50"/>
  <c r="BC50"/>
  <c r="AZ50"/>
  <c r="DT50" s="1"/>
  <c r="AY50"/>
  <c r="DS50" s="1"/>
  <c r="AX50"/>
  <c r="AW50"/>
  <c r="AT50"/>
  <c r="AS50"/>
  <c r="AP50"/>
  <c r="AO50"/>
  <c r="AL50"/>
  <c r="AK50"/>
  <c r="AH50"/>
  <c r="AG50"/>
  <c r="AD50"/>
  <c r="AC50"/>
  <c r="Z50"/>
  <c r="Y50"/>
  <c r="V50"/>
  <c r="U50"/>
  <c r="R50"/>
  <c r="Q50"/>
  <c r="N50"/>
  <c r="M50"/>
  <c r="J50"/>
  <c r="I50"/>
  <c r="H50"/>
  <c r="G50"/>
  <c r="D50"/>
  <c r="C50"/>
  <c r="DJ49"/>
  <c r="DI49"/>
  <c r="DD49"/>
  <c r="DC49"/>
  <c r="CX49"/>
  <c r="CW49"/>
  <c r="CR49"/>
  <c r="CQ49"/>
  <c r="CL49"/>
  <c r="CK49"/>
  <c r="CF49"/>
  <c r="CE49"/>
  <c r="BZ49"/>
  <c r="BY49"/>
  <c r="BT49"/>
  <c r="BS49"/>
  <c r="BN49"/>
  <c r="BM49"/>
  <c r="AV49"/>
  <c r="DL49" s="1"/>
  <c r="AU49"/>
  <c r="DK49" s="1"/>
  <c r="AR49"/>
  <c r="DF49" s="1"/>
  <c r="AQ49"/>
  <c r="DE49" s="1"/>
  <c r="AN49"/>
  <c r="CZ49" s="1"/>
  <c r="AM49"/>
  <c r="CY49" s="1"/>
  <c r="AJ49"/>
  <c r="CT49" s="1"/>
  <c r="AI49"/>
  <c r="CS49" s="1"/>
  <c r="AF49"/>
  <c r="CN49" s="1"/>
  <c r="AE49"/>
  <c r="CM49" s="1"/>
  <c r="AB49"/>
  <c r="CH49" s="1"/>
  <c r="AA49"/>
  <c r="CG49" s="1"/>
  <c r="X49"/>
  <c r="CB49" s="1"/>
  <c r="W49"/>
  <c r="CA49" s="1"/>
  <c r="T49"/>
  <c r="BV49" s="1"/>
  <c r="S49"/>
  <c r="BU49" s="1"/>
  <c r="P49"/>
  <c r="BP49" s="1"/>
  <c r="O49"/>
  <c r="BO49" s="1"/>
  <c r="DR48"/>
  <c r="DQ48"/>
  <c r="DP48"/>
  <c r="DO48"/>
  <c r="DN48"/>
  <c r="DM48"/>
  <c r="DL48"/>
  <c r="DK48"/>
  <c r="DH48"/>
  <c r="DG48"/>
  <c r="DF48"/>
  <c r="DE48"/>
  <c r="DB48"/>
  <c r="DA48"/>
  <c r="CZ48"/>
  <c r="CY48"/>
  <c r="CV48"/>
  <c r="CU48"/>
  <c r="CT48"/>
  <c r="CS48"/>
  <c r="CP48"/>
  <c r="CO48"/>
  <c r="CN48"/>
  <c r="CM48"/>
  <c r="CJ48"/>
  <c r="CI48"/>
  <c r="CH48"/>
  <c r="CG48"/>
  <c r="CD48"/>
  <c r="CC48"/>
  <c r="CB48"/>
  <c r="CA48"/>
  <c r="BX48"/>
  <c r="BW48"/>
  <c r="BV48"/>
  <c r="BU48"/>
  <c r="BR48"/>
  <c r="BQ48"/>
  <c r="BP48"/>
  <c r="BO48"/>
  <c r="BL48"/>
  <c r="BK48"/>
  <c r="BF48"/>
  <c r="BE48"/>
  <c r="BD48"/>
  <c r="BC48"/>
  <c r="AZ48"/>
  <c r="DT48" s="1"/>
  <c r="AY48"/>
  <c r="DS48" s="1"/>
  <c r="AX48"/>
  <c r="AW48"/>
  <c r="AT48"/>
  <c r="AS48"/>
  <c r="AP48"/>
  <c r="AO48"/>
  <c r="AL48"/>
  <c r="AK48"/>
  <c r="AH48"/>
  <c r="AG48"/>
  <c r="AD48"/>
  <c r="AC48"/>
  <c r="Z48"/>
  <c r="Y48"/>
  <c r="V48"/>
  <c r="U48"/>
  <c r="R48"/>
  <c r="Q48"/>
  <c r="N48"/>
  <c r="M48"/>
  <c r="J48"/>
  <c r="I48"/>
  <c r="H48"/>
  <c r="G48"/>
  <c r="D48"/>
  <c r="C48"/>
  <c r="DR46"/>
  <c r="DQ46"/>
  <c r="DP46"/>
  <c r="DO46"/>
  <c r="DN46"/>
  <c r="DM46"/>
  <c r="DL46"/>
  <c r="DK46"/>
  <c r="DH46"/>
  <c r="DG46"/>
  <c r="DF46"/>
  <c r="DE46"/>
  <c r="DB46"/>
  <c r="DA46"/>
  <c r="CZ46"/>
  <c r="CY46"/>
  <c r="CV46"/>
  <c r="CU46"/>
  <c r="CT46"/>
  <c r="CS46"/>
  <c r="CP46"/>
  <c r="CO46"/>
  <c r="CN46"/>
  <c r="CM46"/>
  <c r="CJ46"/>
  <c r="CI46"/>
  <c r="CH46"/>
  <c r="CG46"/>
  <c r="CD46"/>
  <c r="CC46"/>
  <c r="CB46"/>
  <c r="CA46"/>
  <c r="BX46"/>
  <c r="BW46"/>
  <c r="BV46"/>
  <c r="BU46"/>
  <c r="BR46"/>
  <c r="BQ46"/>
  <c r="BP46"/>
  <c r="BO46"/>
  <c r="BL46"/>
  <c r="BK46"/>
  <c r="BF46"/>
  <c r="BE46"/>
  <c r="BD46"/>
  <c r="BC46"/>
  <c r="AZ46"/>
  <c r="DT46" s="1"/>
  <c r="AY46"/>
  <c r="DS46" s="1"/>
  <c r="AX46"/>
  <c r="AW46"/>
  <c r="AT46"/>
  <c r="AS46"/>
  <c r="AP46"/>
  <c r="AO46"/>
  <c r="AL46"/>
  <c r="AK46"/>
  <c r="AH46"/>
  <c r="AG46"/>
  <c r="AD46"/>
  <c r="AC46"/>
  <c r="Z46"/>
  <c r="Y46"/>
  <c r="V46"/>
  <c r="U46"/>
  <c r="R46"/>
  <c r="Q46"/>
  <c r="N46"/>
  <c r="M46"/>
  <c r="J46"/>
  <c r="I46"/>
  <c r="H46"/>
  <c r="G46"/>
  <c r="D46"/>
  <c r="C46"/>
  <c r="DR45"/>
  <c r="DQ45"/>
  <c r="DP45"/>
  <c r="DO45"/>
  <c r="DN45"/>
  <c r="DM45"/>
  <c r="DH45"/>
  <c r="DG45"/>
  <c r="DB45"/>
  <c r="DA45"/>
  <c r="CV45"/>
  <c r="CU45"/>
  <c r="CP45"/>
  <c r="CO45"/>
  <c r="CJ45"/>
  <c r="CI45"/>
  <c r="CD45"/>
  <c r="CC45"/>
  <c r="BX45"/>
  <c r="BW45"/>
  <c r="BR45"/>
  <c r="BQ45"/>
  <c r="BL45"/>
  <c r="BK45"/>
  <c r="BF45"/>
  <c r="BE45"/>
  <c r="BD45"/>
  <c r="BC45"/>
  <c r="AZ45"/>
  <c r="DT45" s="1"/>
  <c r="AY45"/>
  <c r="DS45" s="1"/>
  <c r="AX45"/>
  <c r="AW45"/>
  <c r="AT45"/>
  <c r="AS45"/>
  <c r="AP45"/>
  <c r="AO45"/>
  <c r="AL45"/>
  <c r="AK45"/>
  <c r="AH45"/>
  <c r="AG45"/>
  <c r="AD45"/>
  <c r="AC45"/>
  <c r="Z45"/>
  <c r="Y45"/>
  <c r="V45"/>
  <c r="U45"/>
  <c r="R45"/>
  <c r="Q45"/>
  <c r="N45"/>
  <c r="M45"/>
  <c r="J45"/>
  <c r="I45"/>
  <c r="H45"/>
  <c r="G45"/>
  <c r="D45"/>
  <c r="C45"/>
  <c r="DR44"/>
  <c r="DQ44"/>
  <c r="DP44"/>
  <c r="DO44"/>
  <c r="DN44"/>
  <c r="DM44"/>
  <c r="DH44"/>
  <c r="DG44"/>
  <c r="DB44"/>
  <c r="DA44"/>
  <c r="CV44"/>
  <c r="CU44"/>
  <c r="CP44"/>
  <c r="CO44"/>
  <c r="CJ44"/>
  <c r="CI44"/>
  <c r="CD44"/>
  <c r="CC44"/>
  <c r="BX44"/>
  <c r="BW44"/>
  <c r="BR44"/>
  <c r="BQ44"/>
  <c r="BL44"/>
  <c r="BK44"/>
  <c r="BF44"/>
  <c r="BE44"/>
  <c r="BD44"/>
  <c r="BC44"/>
  <c r="AZ44"/>
  <c r="DT44" s="1"/>
  <c r="AY44"/>
  <c r="DS44" s="1"/>
  <c r="AX44"/>
  <c r="AW44"/>
  <c r="AT44"/>
  <c r="AS44"/>
  <c r="AP44"/>
  <c r="AO44"/>
  <c r="AL44"/>
  <c r="AK44"/>
  <c r="AH44"/>
  <c r="AG44"/>
  <c r="AD44"/>
  <c r="AC44"/>
  <c r="Z44"/>
  <c r="Y44"/>
  <c r="V44"/>
  <c r="U44"/>
  <c r="R44"/>
  <c r="Q44"/>
  <c r="N44"/>
  <c r="M44"/>
  <c r="J44"/>
  <c r="I44"/>
  <c r="H44"/>
  <c r="G44"/>
  <c r="D44"/>
  <c r="C44"/>
  <c r="DR43"/>
  <c r="DQ43"/>
  <c r="DP43"/>
  <c r="DO43"/>
  <c r="DN43"/>
  <c r="DM43"/>
  <c r="DH43"/>
  <c r="DG43"/>
  <c r="DB43"/>
  <c r="DA43"/>
  <c r="CV43"/>
  <c r="CU43"/>
  <c r="CP43"/>
  <c r="CO43"/>
  <c r="CJ43"/>
  <c r="CI43"/>
  <c r="CD43"/>
  <c r="CC43"/>
  <c r="BX43"/>
  <c r="BW43"/>
  <c r="BR43"/>
  <c r="BQ43"/>
  <c r="BL43"/>
  <c r="BK43"/>
  <c r="BF43"/>
  <c r="BE43"/>
  <c r="BD43"/>
  <c r="BC43"/>
  <c r="AZ43"/>
  <c r="DT43" s="1"/>
  <c r="AY43"/>
  <c r="DS43" s="1"/>
  <c r="AX43"/>
  <c r="AW43"/>
  <c r="AT43"/>
  <c r="AS43"/>
  <c r="AP43"/>
  <c r="AO43"/>
  <c r="AL43"/>
  <c r="AK43"/>
  <c r="AH43"/>
  <c r="AG43"/>
  <c r="AD43"/>
  <c r="AC43"/>
  <c r="Z43"/>
  <c r="Y43"/>
  <c r="V43"/>
  <c r="U43"/>
  <c r="R43"/>
  <c r="Q43"/>
  <c r="N43"/>
  <c r="M43"/>
  <c r="J43"/>
  <c r="I43"/>
  <c r="H43"/>
  <c r="G43"/>
  <c r="D43"/>
  <c r="C43"/>
  <c r="DR42"/>
  <c r="DQ42"/>
  <c r="DP42"/>
  <c r="DO42"/>
  <c r="DN42"/>
  <c r="DM42"/>
  <c r="DH42"/>
  <c r="DG42"/>
  <c r="DB42"/>
  <c r="DA42"/>
  <c r="CV42"/>
  <c r="CU42"/>
  <c r="CP42"/>
  <c r="CO42"/>
  <c r="CJ42"/>
  <c r="CI42"/>
  <c r="CD42"/>
  <c r="CC42"/>
  <c r="BX42"/>
  <c r="BW42"/>
  <c r="BR42"/>
  <c r="BQ42"/>
  <c r="BL42"/>
  <c r="BK42"/>
  <c r="BF42"/>
  <c r="BE42"/>
  <c r="BD42"/>
  <c r="BC42"/>
  <c r="AZ42"/>
  <c r="DT42" s="1"/>
  <c r="AY42"/>
  <c r="DS42" s="1"/>
  <c r="AX42"/>
  <c r="AW42"/>
  <c r="AT42"/>
  <c r="AS42"/>
  <c r="AP42"/>
  <c r="AO42"/>
  <c r="AL42"/>
  <c r="AK42"/>
  <c r="AH42"/>
  <c r="AG42"/>
  <c r="AD42"/>
  <c r="AC42"/>
  <c r="Z42"/>
  <c r="Y42"/>
  <c r="V42"/>
  <c r="U42"/>
  <c r="R42"/>
  <c r="Q42"/>
  <c r="N42"/>
  <c r="M42"/>
  <c r="J42"/>
  <c r="I42"/>
  <c r="H42"/>
  <c r="G42"/>
  <c r="D42"/>
  <c r="C42"/>
  <c r="DR41"/>
  <c r="DQ41"/>
  <c r="DP41"/>
  <c r="DO41"/>
  <c r="DN41"/>
  <c r="DM41"/>
  <c r="DL41"/>
  <c r="DK41"/>
  <c r="DH41"/>
  <c r="DG41"/>
  <c r="DF41"/>
  <c r="DE41"/>
  <c r="DB41"/>
  <c r="DA41"/>
  <c r="CZ41"/>
  <c r="CY41"/>
  <c r="CV41"/>
  <c r="CU41"/>
  <c r="CT41"/>
  <c r="CS41"/>
  <c r="CP41"/>
  <c r="CO41"/>
  <c r="CN41"/>
  <c r="CM41"/>
  <c r="CJ41"/>
  <c r="CI41"/>
  <c r="CH41"/>
  <c r="CG41"/>
  <c r="CD41"/>
  <c r="CC41"/>
  <c r="CB41"/>
  <c r="CA41"/>
  <c r="BX41"/>
  <c r="BW41"/>
  <c r="BV41"/>
  <c r="BU41"/>
  <c r="BR41"/>
  <c r="BQ41"/>
  <c r="BP41"/>
  <c r="BO41"/>
  <c r="BL41"/>
  <c r="BK41"/>
  <c r="BF41"/>
  <c r="BE41"/>
  <c r="BD41"/>
  <c r="BC41"/>
  <c r="AZ41"/>
  <c r="DT41" s="1"/>
  <c r="AY41"/>
  <c r="DS41" s="1"/>
  <c r="AX41"/>
  <c r="AW41"/>
  <c r="AT41"/>
  <c r="AS41"/>
  <c r="AP41"/>
  <c r="AO41"/>
  <c r="AL41"/>
  <c r="AK41"/>
  <c r="AH41"/>
  <c r="AG41"/>
  <c r="AD41"/>
  <c r="AC41"/>
  <c r="Z41"/>
  <c r="Y41"/>
  <c r="V41"/>
  <c r="U41"/>
  <c r="R41"/>
  <c r="Q41"/>
  <c r="N41"/>
  <c r="M41"/>
  <c r="J41"/>
  <c r="I41"/>
  <c r="H41"/>
  <c r="G41"/>
  <c r="D41"/>
  <c r="C41"/>
  <c r="DR40"/>
  <c r="DQ40"/>
  <c r="DP40"/>
  <c r="DO40"/>
  <c r="DN40"/>
  <c r="DM40"/>
  <c r="DH40"/>
  <c r="DG40"/>
  <c r="DB40"/>
  <c r="DA40"/>
  <c r="CV40"/>
  <c r="CU40"/>
  <c r="CP40"/>
  <c r="CO40"/>
  <c r="CJ40"/>
  <c r="CI40"/>
  <c r="CD40"/>
  <c r="CC40"/>
  <c r="BX40"/>
  <c r="BW40"/>
  <c r="BR40"/>
  <c r="BQ40"/>
  <c r="BL40"/>
  <c r="BK40"/>
  <c r="BF40"/>
  <c r="BE40"/>
  <c r="BD40"/>
  <c r="BC40"/>
  <c r="AZ40"/>
  <c r="DT40" s="1"/>
  <c r="AY40"/>
  <c r="DS40" s="1"/>
  <c r="AX40"/>
  <c r="AW40"/>
  <c r="AT40"/>
  <c r="AS40"/>
  <c r="AP40"/>
  <c r="AO40"/>
  <c r="AL40"/>
  <c r="AK40"/>
  <c r="AH40"/>
  <c r="AG40"/>
  <c r="AD40"/>
  <c r="AC40"/>
  <c r="Z40"/>
  <c r="Y40"/>
  <c r="V40"/>
  <c r="U40"/>
  <c r="R40"/>
  <c r="Q40"/>
  <c r="N40"/>
  <c r="M40"/>
  <c r="J40"/>
  <c r="I40"/>
  <c r="H40"/>
  <c r="G40"/>
  <c r="D40"/>
  <c r="C40"/>
  <c r="DR39"/>
  <c r="DQ39"/>
  <c r="DP39"/>
  <c r="DO39"/>
  <c r="DN39"/>
  <c r="DM39"/>
  <c r="DH39"/>
  <c r="DG39"/>
  <c r="DB39"/>
  <c r="DA39"/>
  <c r="CV39"/>
  <c r="CU39"/>
  <c r="CP39"/>
  <c r="CO39"/>
  <c r="CJ39"/>
  <c r="CI39"/>
  <c r="CD39"/>
  <c r="CC39"/>
  <c r="BX39"/>
  <c r="BW39"/>
  <c r="BR39"/>
  <c r="BQ39"/>
  <c r="BL39"/>
  <c r="BK39"/>
  <c r="BF39"/>
  <c r="BE39"/>
  <c r="BD39"/>
  <c r="BC39"/>
  <c r="AZ39"/>
  <c r="AY39"/>
  <c r="DS39" s="1"/>
  <c r="AX39"/>
  <c r="AW39"/>
  <c r="AT39"/>
  <c r="AS39"/>
  <c r="AP39"/>
  <c r="AO39"/>
  <c r="AL39"/>
  <c r="AK39"/>
  <c r="AH39"/>
  <c r="AG39"/>
  <c r="AD39"/>
  <c r="AC39"/>
  <c r="Z39"/>
  <c r="Y39"/>
  <c r="V39"/>
  <c r="U39"/>
  <c r="R39"/>
  <c r="Q39"/>
  <c r="N39"/>
  <c r="M39"/>
  <c r="J39"/>
  <c r="I39"/>
  <c r="H39"/>
  <c r="G39"/>
  <c r="D39"/>
  <c r="C39"/>
  <c r="DR36"/>
  <c r="DQ36"/>
  <c r="DP36"/>
  <c r="DO36"/>
  <c r="DN36"/>
  <c r="DM36"/>
  <c r="DH36"/>
  <c r="DG36"/>
  <c r="DB36"/>
  <c r="DA36"/>
  <c r="CV36"/>
  <c r="CU36"/>
  <c r="CP36"/>
  <c r="CO36"/>
  <c r="CJ36"/>
  <c r="CI36"/>
  <c r="CD36"/>
  <c r="CC36"/>
  <c r="BX36"/>
  <c r="BW36"/>
  <c r="BR36"/>
  <c r="BQ36"/>
  <c r="BL36"/>
  <c r="BK36"/>
  <c r="BF36"/>
  <c r="BE36"/>
  <c r="BD36"/>
  <c r="BC36"/>
  <c r="AZ36"/>
  <c r="DT36" s="1"/>
  <c r="AY36"/>
  <c r="DS36" s="1"/>
  <c r="AX36"/>
  <c r="AW36"/>
  <c r="AT36"/>
  <c r="AS36"/>
  <c r="AP36"/>
  <c r="AO36"/>
  <c r="AL36"/>
  <c r="AK36"/>
  <c r="AH36"/>
  <c r="AG36"/>
  <c r="AD36"/>
  <c r="AC36"/>
  <c r="Z36"/>
  <c r="Y36"/>
  <c r="V36"/>
  <c r="U36"/>
  <c r="R36"/>
  <c r="Q36"/>
  <c r="N36"/>
  <c r="M36"/>
  <c r="J36"/>
  <c r="I36"/>
  <c r="H36"/>
  <c r="G36"/>
  <c r="D36"/>
  <c r="C36"/>
  <c r="DR35"/>
  <c r="DQ35"/>
  <c r="DP35"/>
  <c r="DO35"/>
  <c r="DN35"/>
  <c r="DM35"/>
  <c r="DH35"/>
  <c r="DG35"/>
  <c r="DB35"/>
  <c r="DA35"/>
  <c r="CV35"/>
  <c r="CU35"/>
  <c r="CP35"/>
  <c r="CO35"/>
  <c r="CJ35"/>
  <c r="CI35"/>
  <c r="CD35"/>
  <c r="CC35"/>
  <c r="BX35"/>
  <c r="BW35"/>
  <c r="BR35"/>
  <c r="BQ35"/>
  <c r="BL35"/>
  <c r="BK35"/>
  <c r="BF35"/>
  <c r="BE35"/>
  <c r="BD35"/>
  <c r="BC35"/>
  <c r="AZ35"/>
  <c r="DT35" s="1"/>
  <c r="AY35"/>
  <c r="DS35" s="1"/>
  <c r="AX35"/>
  <c r="AW35"/>
  <c r="AT35"/>
  <c r="AS35"/>
  <c r="AP35"/>
  <c r="AO35"/>
  <c r="AL35"/>
  <c r="AK35"/>
  <c r="AH35"/>
  <c r="AG35"/>
  <c r="AD35"/>
  <c r="AC35"/>
  <c r="Z35"/>
  <c r="Y35"/>
  <c r="V35"/>
  <c r="U35"/>
  <c r="R35"/>
  <c r="Q35"/>
  <c r="N35"/>
  <c r="M35"/>
  <c r="J35"/>
  <c r="I35"/>
  <c r="H35"/>
  <c r="G35"/>
  <c r="D35"/>
  <c r="C35"/>
  <c r="DR34"/>
  <c r="DQ34"/>
  <c r="DP34"/>
  <c r="DO34"/>
  <c r="DN34"/>
  <c r="DM34"/>
  <c r="DH34"/>
  <c r="DG34"/>
  <c r="DB34"/>
  <c r="DA34"/>
  <c r="CV34"/>
  <c r="CU34"/>
  <c r="CP34"/>
  <c r="CO34"/>
  <c r="CJ34"/>
  <c r="CI34"/>
  <c r="CD34"/>
  <c r="CC34"/>
  <c r="BX34"/>
  <c r="BW34"/>
  <c r="BR34"/>
  <c r="BQ34"/>
  <c r="BL34"/>
  <c r="BK34"/>
  <c r="BF34"/>
  <c r="BE34"/>
  <c r="BD34"/>
  <c r="BC34"/>
  <c r="AZ34"/>
  <c r="DT34" s="1"/>
  <c r="AY34"/>
  <c r="DS34" s="1"/>
  <c r="AX34"/>
  <c r="AW34"/>
  <c r="AT34"/>
  <c r="AS34"/>
  <c r="AP34"/>
  <c r="AO34"/>
  <c r="AL34"/>
  <c r="AK34"/>
  <c r="AH34"/>
  <c r="AG34"/>
  <c r="AD34"/>
  <c r="AC34"/>
  <c r="Z34"/>
  <c r="Y34"/>
  <c r="V34"/>
  <c r="U34"/>
  <c r="R34"/>
  <c r="Q34"/>
  <c r="N34"/>
  <c r="M34"/>
  <c r="J34"/>
  <c r="I34"/>
  <c r="H34"/>
  <c r="G34"/>
  <c r="D34"/>
  <c r="C34"/>
  <c r="DR33"/>
  <c r="DQ33"/>
  <c r="DP33"/>
  <c r="DO33"/>
  <c r="DN33"/>
  <c r="DM33"/>
  <c r="DH33"/>
  <c r="DG33"/>
  <c r="DB33"/>
  <c r="DA33"/>
  <c r="CV33"/>
  <c r="CU33"/>
  <c r="CP33"/>
  <c r="CO33"/>
  <c r="CJ33"/>
  <c r="CI33"/>
  <c r="CD33"/>
  <c r="CC33"/>
  <c r="BX33"/>
  <c r="BW33"/>
  <c r="BR33"/>
  <c r="BQ33"/>
  <c r="BL33"/>
  <c r="BK33"/>
  <c r="BF33"/>
  <c r="BE33"/>
  <c r="BD33"/>
  <c r="BC33"/>
  <c r="AZ33"/>
  <c r="DT33" s="1"/>
  <c r="AY33"/>
  <c r="DS33" s="1"/>
  <c r="AX33"/>
  <c r="AW33"/>
  <c r="AT33"/>
  <c r="AS33"/>
  <c r="AP33"/>
  <c r="AO33"/>
  <c r="AL33"/>
  <c r="AK33"/>
  <c r="AH33"/>
  <c r="AG33"/>
  <c r="AD33"/>
  <c r="AC33"/>
  <c r="Z33"/>
  <c r="Y33"/>
  <c r="V33"/>
  <c r="U33"/>
  <c r="R33"/>
  <c r="Q33"/>
  <c r="N33"/>
  <c r="M33"/>
  <c r="J33"/>
  <c r="I33"/>
  <c r="H33"/>
  <c r="G33"/>
  <c r="D33"/>
  <c r="C33"/>
  <c r="DR32"/>
  <c r="DQ32"/>
  <c r="DP32"/>
  <c r="DO32"/>
  <c r="DN32"/>
  <c r="DM32"/>
  <c r="DH32"/>
  <c r="DG32"/>
  <c r="DB32"/>
  <c r="DA32"/>
  <c r="CV32"/>
  <c r="CU32"/>
  <c r="CP32"/>
  <c r="CO32"/>
  <c r="CJ32"/>
  <c r="CI32"/>
  <c r="CD32"/>
  <c r="CC32"/>
  <c r="BX32"/>
  <c r="BW32"/>
  <c r="BR32"/>
  <c r="BQ32"/>
  <c r="BL32"/>
  <c r="BK32"/>
  <c r="BF32"/>
  <c r="BE32"/>
  <c r="BD32"/>
  <c r="BC32"/>
  <c r="AZ32"/>
  <c r="DT32" s="1"/>
  <c r="AY32"/>
  <c r="DS32" s="1"/>
  <c r="AX32"/>
  <c r="AW32"/>
  <c r="AT32"/>
  <c r="AS32"/>
  <c r="AP32"/>
  <c r="AO32"/>
  <c r="AL32"/>
  <c r="AK32"/>
  <c r="AH32"/>
  <c r="AG32"/>
  <c r="AD32"/>
  <c r="AC32"/>
  <c r="Z32"/>
  <c r="Y32"/>
  <c r="V32"/>
  <c r="U32"/>
  <c r="R32"/>
  <c r="Q32"/>
  <c r="N32"/>
  <c r="M32"/>
  <c r="J32"/>
  <c r="I32"/>
  <c r="H32"/>
  <c r="G32"/>
  <c r="D32"/>
  <c r="C32"/>
  <c r="DR31"/>
  <c r="DQ31"/>
  <c r="DP31"/>
  <c r="DO31"/>
  <c r="DN31"/>
  <c r="DM31"/>
  <c r="DH31"/>
  <c r="DG31"/>
  <c r="DB31"/>
  <c r="DA31"/>
  <c r="CV31"/>
  <c r="CU31"/>
  <c r="CP31"/>
  <c r="CO31"/>
  <c r="CJ31"/>
  <c r="CI31"/>
  <c r="CD31"/>
  <c r="CC31"/>
  <c r="BX31"/>
  <c r="BW31"/>
  <c r="BR31"/>
  <c r="BQ31"/>
  <c r="BL31"/>
  <c r="BK31"/>
  <c r="BF31"/>
  <c r="BE31"/>
  <c r="BD31"/>
  <c r="BC31"/>
  <c r="AZ31"/>
  <c r="DT31" s="1"/>
  <c r="AY31"/>
  <c r="DS31" s="1"/>
  <c r="AX31"/>
  <c r="AW31"/>
  <c r="AT31"/>
  <c r="AS31"/>
  <c r="AP31"/>
  <c r="AO31"/>
  <c r="AL31"/>
  <c r="AK31"/>
  <c r="AH31"/>
  <c r="AG31"/>
  <c r="AD31"/>
  <c r="AC31"/>
  <c r="Z31"/>
  <c r="Y31"/>
  <c r="V31"/>
  <c r="U31"/>
  <c r="R31"/>
  <c r="Q31"/>
  <c r="N31"/>
  <c r="M31"/>
  <c r="J31"/>
  <c r="I31"/>
  <c r="H31"/>
  <c r="G31"/>
  <c r="D31"/>
  <c r="C31"/>
  <c r="DR30"/>
  <c r="DQ30"/>
  <c r="DP30"/>
  <c r="DO30"/>
  <c r="DN30"/>
  <c r="DM30"/>
  <c r="DH30"/>
  <c r="DG30"/>
  <c r="DB30"/>
  <c r="DA30"/>
  <c r="CV30"/>
  <c r="CU30"/>
  <c r="CP30"/>
  <c r="CO30"/>
  <c r="CJ30"/>
  <c r="CI30"/>
  <c r="CD30"/>
  <c r="CC30"/>
  <c r="BX30"/>
  <c r="BW30"/>
  <c r="BR30"/>
  <c r="BQ30"/>
  <c r="BL30"/>
  <c r="BK30"/>
  <c r="BF30"/>
  <c r="BE30"/>
  <c r="BD30"/>
  <c r="BC30"/>
  <c r="AZ30"/>
  <c r="DT30" s="1"/>
  <c r="AY30"/>
  <c r="DS30" s="1"/>
  <c r="AX30"/>
  <c r="AW30"/>
  <c r="AT30"/>
  <c r="AS30"/>
  <c r="AP30"/>
  <c r="AO30"/>
  <c r="AL30"/>
  <c r="AK30"/>
  <c r="AH30"/>
  <c r="AG30"/>
  <c r="AD30"/>
  <c r="AC30"/>
  <c r="Z30"/>
  <c r="Y30"/>
  <c r="V30"/>
  <c r="U30"/>
  <c r="R30"/>
  <c r="Q30"/>
  <c r="N30"/>
  <c r="M30"/>
  <c r="J30"/>
  <c r="I30"/>
  <c r="H30"/>
  <c r="G30"/>
  <c r="D30"/>
  <c r="C30"/>
  <c r="DR29"/>
  <c r="DQ29"/>
  <c r="DP29"/>
  <c r="DO29"/>
  <c r="DN29"/>
  <c r="DM29"/>
  <c r="DH29"/>
  <c r="DG29"/>
  <c r="DB29"/>
  <c r="DA29"/>
  <c r="CV29"/>
  <c r="CU29"/>
  <c r="CP29"/>
  <c r="CO29"/>
  <c r="CJ29"/>
  <c r="CI29"/>
  <c r="CD29"/>
  <c r="CC29"/>
  <c r="BX29"/>
  <c r="BW29"/>
  <c r="BR29"/>
  <c r="BQ29"/>
  <c r="BL29"/>
  <c r="BK29"/>
  <c r="BF29"/>
  <c r="BE29"/>
  <c r="BD29"/>
  <c r="BC29"/>
  <c r="AZ29"/>
  <c r="DT29" s="1"/>
  <c r="AY29"/>
  <c r="DS29" s="1"/>
  <c r="AX29"/>
  <c r="AW29"/>
  <c r="AT29"/>
  <c r="AS29"/>
  <c r="AP29"/>
  <c r="AO29"/>
  <c r="AL29"/>
  <c r="AK29"/>
  <c r="AH29"/>
  <c r="AG29"/>
  <c r="AD29"/>
  <c r="AC29"/>
  <c r="Z29"/>
  <c r="Y29"/>
  <c r="V29"/>
  <c r="U29"/>
  <c r="R29"/>
  <c r="Q29"/>
  <c r="N29"/>
  <c r="M29"/>
  <c r="J29"/>
  <c r="I29"/>
  <c r="H29"/>
  <c r="G29"/>
  <c r="D29"/>
  <c r="C29"/>
  <c r="DR28"/>
  <c r="DQ28"/>
  <c r="DP28"/>
  <c r="DO28"/>
  <c r="DN28"/>
  <c r="DM28"/>
  <c r="DH28"/>
  <c r="DG28"/>
  <c r="DB28"/>
  <c r="DA28"/>
  <c r="CV28"/>
  <c r="CU28"/>
  <c r="CP28"/>
  <c r="CO28"/>
  <c r="CJ28"/>
  <c r="CI28"/>
  <c r="CD28"/>
  <c r="CC28"/>
  <c r="BX28"/>
  <c r="BW28"/>
  <c r="BR28"/>
  <c r="BQ28"/>
  <c r="BL28"/>
  <c r="BK28"/>
  <c r="BF28"/>
  <c r="BE28"/>
  <c r="BD28"/>
  <c r="BC28"/>
  <c r="AZ28"/>
  <c r="DT28" s="1"/>
  <c r="AY28"/>
  <c r="DS28" s="1"/>
  <c r="AX28"/>
  <c r="AW28"/>
  <c r="AT28"/>
  <c r="AS28"/>
  <c r="AP28"/>
  <c r="AO28"/>
  <c r="AL28"/>
  <c r="AK28"/>
  <c r="AH28"/>
  <c r="AG28"/>
  <c r="AD28"/>
  <c r="AC28"/>
  <c r="Z28"/>
  <c r="Y28"/>
  <c r="V28"/>
  <c r="U28"/>
  <c r="R28"/>
  <c r="Q28"/>
  <c r="N28"/>
  <c r="M28"/>
  <c r="J28"/>
  <c r="I28"/>
  <c r="H28"/>
  <c r="G28"/>
  <c r="D28"/>
  <c r="C28"/>
  <c r="DR26"/>
  <c r="DQ26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DT26" s="1"/>
  <c r="AY26"/>
  <c r="DS26" s="1"/>
  <c r="AX26"/>
  <c r="AW26"/>
  <c r="AT26"/>
  <c r="AS26"/>
  <c r="AP26"/>
  <c r="AO26"/>
  <c r="AL26"/>
  <c r="AK26"/>
  <c r="AH26"/>
  <c r="AG26"/>
  <c r="AD26"/>
  <c r="AC26"/>
  <c r="Z26"/>
  <c r="Y26"/>
  <c r="V26"/>
  <c r="U26"/>
  <c r="R26"/>
  <c r="Q26"/>
  <c r="N26"/>
  <c r="M26"/>
  <c r="J26"/>
  <c r="I26"/>
  <c r="H26"/>
  <c r="G26"/>
  <c r="D26"/>
  <c r="C26"/>
  <c r="DR25"/>
  <c r="DQ25"/>
  <c r="DP25"/>
  <c r="DO25"/>
  <c r="DN25"/>
  <c r="DM25"/>
  <c r="DH25"/>
  <c r="DG25"/>
  <c r="DB25"/>
  <c r="DA25"/>
  <c r="CV25"/>
  <c r="CU25"/>
  <c r="CP25"/>
  <c r="CO25"/>
  <c r="CJ25"/>
  <c r="CI25"/>
  <c r="CD25"/>
  <c r="CC25"/>
  <c r="BX25"/>
  <c r="BW25"/>
  <c r="BR25"/>
  <c r="BQ25"/>
  <c r="BL25"/>
  <c r="BK25"/>
  <c r="BF25"/>
  <c r="BE25"/>
  <c r="BD25"/>
  <c r="BC25"/>
  <c r="AZ25"/>
  <c r="DT25" s="1"/>
  <c r="AY25"/>
  <c r="DS25" s="1"/>
  <c r="AX25"/>
  <c r="AW25"/>
  <c r="AT25"/>
  <c r="AS25"/>
  <c r="AP25"/>
  <c r="AO25"/>
  <c r="AL25"/>
  <c r="AK25"/>
  <c r="AH25"/>
  <c r="AG25"/>
  <c r="AD25"/>
  <c r="AC25"/>
  <c r="Z25"/>
  <c r="Y25"/>
  <c r="V25"/>
  <c r="U25"/>
  <c r="R25"/>
  <c r="Q25"/>
  <c r="N25"/>
  <c r="M25"/>
  <c r="J25"/>
  <c r="I25"/>
  <c r="H25"/>
  <c r="G25"/>
  <c r="D25"/>
  <c r="C25"/>
  <c r="DR24"/>
  <c r="DQ24"/>
  <c r="DP24"/>
  <c r="DO24"/>
  <c r="DN24"/>
  <c r="DM24"/>
  <c r="DH24"/>
  <c r="DG24"/>
  <c r="DB24"/>
  <c r="DA24"/>
  <c r="CV24"/>
  <c r="CU24"/>
  <c r="CP24"/>
  <c r="CO24"/>
  <c r="CJ24"/>
  <c r="CI24"/>
  <c r="CD24"/>
  <c r="CC24"/>
  <c r="BX24"/>
  <c r="BW24"/>
  <c r="BR24"/>
  <c r="BQ24"/>
  <c r="BL24"/>
  <c r="BK24"/>
  <c r="BF24"/>
  <c r="BE24"/>
  <c r="BD24"/>
  <c r="BC24"/>
  <c r="AZ24"/>
  <c r="DT130" s="1"/>
  <c r="AY24"/>
  <c r="DS130" s="1"/>
  <c r="AX24"/>
  <c r="AW24"/>
  <c r="AT24"/>
  <c r="AS24"/>
  <c r="AP24"/>
  <c r="AO24"/>
  <c r="AL24"/>
  <c r="AK24"/>
  <c r="AH24"/>
  <c r="AG24"/>
  <c r="AD24"/>
  <c r="AC24"/>
  <c r="Z24"/>
  <c r="Y24"/>
  <c r="V24"/>
  <c r="U24"/>
  <c r="R24"/>
  <c r="Q24"/>
  <c r="N24"/>
  <c r="M24"/>
  <c r="J24"/>
  <c r="I24"/>
  <c r="H24"/>
  <c r="G24"/>
  <c r="D24"/>
  <c r="C24"/>
  <c r="DR23"/>
  <c r="DQ23"/>
  <c r="DP23"/>
  <c r="DO23"/>
  <c r="DN23"/>
  <c r="DM23"/>
  <c r="DH23"/>
  <c r="DG23"/>
  <c r="DB23"/>
  <c r="DA23"/>
  <c r="CV23"/>
  <c r="CU23"/>
  <c r="CP23"/>
  <c r="CO23"/>
  <c r="CJ23"/>
  <c r="CI23"/>
  <c r="CD23"/>
  <c r="CC23"/>
  <c r="BX23"/>
  <c r="BW23"/>
  <c r="BR23"/>
  <c r="BQ23"/>
  <c r="BL23"/>
  <c r="BK23"/>
  <c r="BF23"/>
  <c r="BE23"/>
  <c r="BD23"/>
  <c r="BC23"/>
  <c r="AZ23"/>
  <c r="DT23" s="1"/>
  <c r="AY23"/>
  <c r="DS23" s="1"/>
  <c r="AX23"/>
  <c r="AW23"/>
  <c r="AT23"/>
  <c r="AS23"/>
  <c r="AP23"/>
  <c r="AO23"/>
  <c r="AL23"/>
  <c r="AK23"/>
  <c r="AH23"/>
  <c r="AG23"/>
  <c r="AD23"/>
  <c r="AC23"/>
  <c r="Z23"/>
  <c r="Y23"/>
  <c r="V23"/>
  <c r="U23"/>
  <c r="R23"/>
  <c r="Q23"/>
  <c r="N23"/>
  <c r="M23"/>
  <c r="J23"/>
  <c r="I23"/>
  <c r="H23"/>
  <c r="G23"/>
  <c r="D23"/>
  <c r="C23"/>
  <c r="DR22"/>
  <c r="DQ22"/>
  <c r="DP22"/>
  <c r="DO22"/>
  <c r="DN22"/>
  <c r="DM22"/>
  <c r="DH22"/>
  <c r="DG22"/>
  <c r="DB22"/>
  <c r="DA22"/>
  <c r="CV22"/>
  <c r="CU22"/>
  <c r="CP22"/>
  <c r="CO22"/>
  <c r="CJ22"/>
  <c r="CI22"/>
  <c r="CD22"/>
  <c r="CC22"/>
  <c r="BX22"/>
  <c r="BW22"/>
  <c r="BR22"/>
  <c r="BQ22"/>
  <c r="BL22"/>
  <c r="BK22"/>
  <c r="BF22"/>
  <c r="BE22"/>
  <c r="BD22"/>
  <c r="BC22"/>
  <c r="AZ22"/>
  <c r="DT22" s="1"/>
  <c r="AY22"/>
  <c r="DS22" s="1"/>
  <c r="AX22"/>
  <c r="AW22"/>
  <c r="AT22"/>
  <c r="AS22"/>
  <c r="AP22"/>
  <c r="AO22"/>
  <c r="AL22"/>
  <c r="AK22"/>
  <c r="AH22"/>
  <c r="AG22"/>
  <c r="AD22"/>
  <c r="AC22"/>
  <c r="Z22"/>
  <c r="Y22"/>
  <c r="V22"/>
  <c r="U22"/>
  <c r="R22"/>
  <c r="Q22"/>
  <c r="N22"/>
  <c r="M22"/>
  <c r="J22"/>
  <c r="I22"/>
  <c r="H22"/>
  <c r="G22"/>
  <c r="D22"/>
  <c r="C22"/>
  <c r="DR21"/>
  <c r="DQ21"/>
  <c r="DP21"/>
  <c r="DO21"/>
  <c r="DN21"/>
  <c r="DM21"/>
  <c r="DH21"/>
  <c r="DG21"/>
  <c r="DB21"/>
  <c r="DA21"/>
  <c r="CV21"/>
  <c r="CU21"/>
  <c r="CP21"/>
  <c r="CO21"/>
  <c r="CJ21"/>
  <c r="CI21"/>
  <c r="CD21"/>
  <c r="CC21"/>
  <c r="BX21"/>
  <c r="BW21"/>
  <c r="BR21"/>
  <c r="BQ21"/>
  <c r="BL21"/>
  <c r="BK21"/>
  <c r="BF21"/>
  <c r="BE21"/>
  <c r="BD21"/>
  <c r="BC21"/>
  <c r="AZ21"/>
  <c r="DT21" s="1"/>
  <c r="AY21"/>
  <c r="DS21" s="1"/>
  <c r="AX21"/>
  <c r="AW21"/>
  <c r="AT21"/>
  <c r="AS21"/>
  <c r="AP21"/>
  <c r="AO21"/>
  <c r="AL21"/>
  <c r="AK21"/>
  <c r="AH21"/>
  <c r="AG21"/>
  <c r="AD21"/>
  <c r="AC21"/>
  <c r="Z21"/>
  <c r="Y21"/>
  <c r="V21"/>
  <c r="U21"/>
  <c r="R21"/>
  <c r="Q21"/>
  <c r="N21"/>
  <c r="M21"/>
  <c r="J21"/>
  <c r="I21"/>
  <c r="H21"/>
  <c r="G21"/>
  <c r="D21"/>
  <c r="C21"/>
  <c r="DR20"/>
  <c r="DQ20"/>
  <c r="DP20"/>
  <c r="DO20"/>
  <c r="DN20"/>
  <c r="DM20"/>
  <c r="DH20"/>
  <c r="DG20"/>
  <c r="DB20"/>
  <c r="DA20"/>
  <c r="CV20"/>
  <c r="CU20"/>
  <c r="CP20"/>
  <c r="CO20"/>
  <c r="CJ20"/>
  <c r="CI20"/>
  <c r="CD20"/>
  <c r="CC20"/>
  <c r="BX20"/>
  <c r="BW20"/>
  <c r="BR20"/>
  <c r="BQ20"/>
  <c r="BL20"/>
  <c r="BK20"/>
  <c r="BF20"/>
  <c r="BE20"/>
  <c r="BD20"/>
  <c r="BC20"/>
  <c r="AZ20"/>
  <c r="DT20" s="1"/>
  <c r="AY20"/>
  <c r="DS20" s="1"/>
  <c r="AX20"/>
  <c r="AW20"/>
  <c r="AT20"/>
  <c r="AS20"/>
  <c r="AP20"/>
  <c r="AO20"/>
  <c r="AL20"/>
  <c r="AK20"/>
  <c r="AH20"/>
  <c r="AG20"/>
  <c r="AD20"/>
  <c r="AC20"/>
  <c r="Z20"/>
  <c r="Y20"/>
  <c r="V20"/>
  <c r="U20"/>
  <c r="R20"/>
  <c r="Q20"/>
  <c r="N20"/>
  <c r="M20"/>
  <c r="J20"/>
  <c r="I20"/>
  <c r="H20"/>
  <c r="G20"/>
  <c r="D20"/>
  <c r="C20"/>
  <c r="DR19"/>
  <c r="DQ19"/>
  <c r="DP19"/>
  <c r="DO19"/>
  <c r="DN19"/>
  <c r="DM19"/>
  <c r="DH19"/>
  <c r="DG19"/>
  <c r="DB19"/>
  <c r="DA19"/>
  <c r="CV19"/>
  <c r="CU19"/>
  <c r="CP19"/>
  <c r="CO19"/>
  <c r="CJ19"/>
  <c r="CI19"/>
  <c r="CD19"/>
  <c r="CC19"/>
  <c r="BX19"/>
  <c r="BW19"/>
  <c r="BR19"/>
  <c r="BQ19"/>
  <c r="BL19"/>
  <c r="BK19"/>
  <c r="BF19"/>
  <c r="BE19"/>
  <c r="BD19"/>
  <c r="BC19"/>
  <c r="AZ19"/>
  <c r="DT19" s="1"/>
  <c r="AY19"/>
  <c r="DS19" s="1"/>
  <c r="AX19"/>
  <c r="AW19"/>
  <c r="AT19"/>
  <c r="AS19"/>
  <c r="AP19"/>
  <c r="AO19"/>
  <c r="AL19"/>
  <c r="AK19"/>
  <c r="AH19"/>
  <c r="AG19"/>
  <c r="AD19"/>
  <c r="AC19"/>
  <c r="Z19"/>
  <c r="Y19"/>
  <c r="V19"/>
  <c r="U19"/>
  <c r="R19"/>
  <c r="Q19"/>
  <c r="N19"/>
  <c r="M19"/>
  <c r="J19"/>
  <c r="I19"/>
  <c r="H19"/>
  <c r="G19"/>
  <c r="D19"/>
  <c r="C19"/>
  <c r="DR18"/>
  <c r="DQ18"/>
  <c r="DP18"/>
  <c r="DO18"/>
  <c r="DN18"/>
  <c r="DM18"/>
  <c r="DH18"/>
  <c r="DG18"/>
  <c r="DB18"/>
  <c r="DA18"/>
  <c r="CV18"/>
  <c r="CU18"/>
  <c r="CP18"/>
  <c r="CO18"/>
  <c r="CJ18"/>
  <c r="CI18"/>
  <c r="CD18"/>
  <c r="CC18"/>
  <c r="BX18"/>
  <c r="BW18"/>
  <c r="BR18"/>
  <c r="BQ18"/>
  <c r="BL18"/>
  <c r="BK18"/>
  <c r="BF18"/>
  <c r="BE18"/>
  <c r="BD18"/>
  <c r="BC18"/>
  <c r="AZ18"/>
  <c r="DT18" s="1"/>
  <c r="AY18"/>
  <c r="DS18" s="1"/>
  <c r="AX18"/>
  <c r="AW18"/>
  <c r="AT18"/>
  <c r="AS18"/>
  <c r="AP18"/>
  <c r="AO18"/>
  <c r="AL18"/>
  <c r="AK18"/>
  <c r="AH18"/>
  <c r="AG18"/>
  <c r="AD18"/>
  <c r="AC18"/>
  <c r="Z18"/>
  <c r="Y18"/>
  <c r="V18"/>
  <c r="U18"/>
  <c r="R18"/>
  <c r="Q18"/>
  <c r="N18"/>
  <c r="M18"/>
  <c r="J18"/>
  <c r="I18"/>
  <c r="H18"/>
  <c r="G18"/>
  <c r="D18"/>
  <c r="C18"/>
  <c r="DR17"/>
  <c r="DQ17"/>
  <c r="DP17"/>
  <c r="DO17"/>
  <c r="DN17"/>
  <c r="DM17"/>
  <c r="DH17"/>
  <c r="DG17"/>
  <c r="DB17"/>
  <c r="DA17"/>
  <c r="CV17"/>
  <c r="CU17"/>
  <c r="CP17"/>
  <c r="CO17"/>
  <c r="CJ17"/>
  <c r="CI17"/>
  <c r="CD17"/>
  <c r="CC17"/>
  <c r="BX17"/>
  <c r="BW17"/>
  <c r="BR17"/>
  <c r="BQ17"/>
  <c r="BL17"/>
  <c r="BK17"/>
  <c r="BF17"/>
  <c r="BE17"/>
  <c r="BD17"/>
  <c r="BC17"/>
  <c r="AZ17"/>
  <c r="DT17" s="1"/>
  <c r="AY17"/>
  <c r="DS17" s="1"/>
  <c r="AX17"/>
  <c r="AW17"/>
  <c r="AT17"/>
  <c r="AS17"/>
  <c r="AP17"/>
  <c r="AO17"/>
  <c r="AL17"/>
  <c r="AK17"/>
  <c r="AH17"/>
  <c r="AG17"/>
  <c r="AD17"/>
  <c r="AC17"/>
  <c r="Z17"/>
  <c r="Y17"/>
  <c r="V17"/>
  <c r="U17"/>
  <c r="R17"/>
  <c r="Q17"/>
  <c r="N17"/>
  <c r="M17"/>
  <c r="J17"/>
  <c r="I17"/>
  <c r="H17"/>
  <c r="G17"/>
  <c r="D17"/>
  <c r="C17"/>
  <c r="DQ16"/>
  <c r="DO16"/>
  <c r="DM16"/>
  <c r="DG16"/>
  <c r="DA16"/>
  <c r="CU16"/>
  <c r="CO16"/>
  <c r="CI16"/>
  <c r="CC16"/>
  <c r="BW16"/>
  <c r="BQ16"/>
  <c r="BK16"/>
  <c r="BE16"/>
  <c r="BC16"/>
  <c r="AY16"/>
  <c r="DS16" s="1"/>
  <c r="AW16"/>
  <c r="AS16"/>
  <c r="AO16"/>
  <c r="AK16"/>
  <c r="AG16"/>
  <c r="AC16"/>
  <c r="Y16"/>
  <c r="U16"/>
  <c r="Q16"/>
  <c r="M16"/>
  <c r="I16"/>
  <c r="G16"/>
  <c r="C16"/>
  <c r="DQ15"/>
  <c r="DO15"/>
  <c r="DM15"/>
  <c r="DG15"/>
  <c r="DA15"/>
  <c r="CU15"/>
  <c r="CO15"/>
  <c r="CI15"/>
  <c r="CC15"/>
  <c r="BW15"/>
  <c r="BQ15"/>
  <c r="BK15"/>
  <c r="BE15"/>
  <c r="BC15"/>
  <c r="AY15"/>
  <c r="DS15" s="1"/>
  <c r="AW15"/>
  <c r="AS15"/>
  <c r="AO15"/>
  <c r="AK15"/>
  <c r="AG15"/>
  <c r="AC15"/>
  <c r="Y15"/>
  <c r="U15"/>
  <c r="Q15"/>
  <c r="M15"/>
  <c r="I15"/>
  <c r="G15"/>
  <c r="C15"/>
  <c r="DR14"/>
  <c r="DQ14"/>
  <c r="DP14"/>
  <c r="DO14"/>
  <c r="DN14"/>
  <c r="DM14"/>
  <c r="DH14"/>
  <c r="DG14"/>
  <c r="DB14"/>
  <c r="DA14"/>
  <c r="CV14"/>
  <c r="CU14"/>
  <c r="CP14"/>
  <c r="CO14"/>
  <c r="CJ14"/>
  <c r="CI14"/>
  <c r="CD14"/>
  <c r="CC14"/>
  <c r="BX14"/>
  <c r="BW14"/>
  <c r="BR14"/>
  <c r="BQ14"/>
  <c r="BL14"/>
  <c r="BK14"/>
  <c r="BF14"/>
  <c r="BE14"/>
  <c r="BD14"/>
  <c r="BC14"/>
  <c r="AZ14"/>
  <c r="DT14" s="1"/>
  <c r="AY14"/>
  <c r="DS14" s="1"/>
  <c r="AX14"/>
  <c r="AW14"/>
  <c r="AT14"/>
  <c r="AS14"/>
  <c r="AP14"/>
  <c r="AO14"/>
  <c r="AL14"/>
  <c r="AK14"/>
  <c r="AH14"/>
  <c r="AG14"/>
  <c r="AD14"/>
  <c r="AC14"/>
  <c r="Z14"/>
  <c r="Y14"/>
  <c r="V14"/>
  <c r="U14"/>
  <c r="R14"/>
  <c r="Q14"/>
  <c r="N14"/>
  <c r="M14"/>
  <c r="J14"/>
  <c r="I14"/>
  <c r="H14"/>
  <c r="G14"/>
  <c r="D14"/>
  <c r="C14"/>
  <c r="DR13"/>
  <c r="DQ13"/>
  <c r="DP13"/>
  <c r="DO13"/>
  <c r="DN13"/>
  <c r="DM13"/>
  <c r="DH13"/>
  <c r="DG13"/>
  <c r="DB13"/>
  <c r="DA13"/>
  <c r="CV13"/>
  <c r="CU13"/>
  <c r="CP13"/>
  <c r="CO13"/>
  <c r="CJ13"/>
  <c r="CI13"/>
  <c r="CD13"/>
  <c r="CC13"/>
  <c r="BX13"/>
  <c r="BW13"/>
  <c r="BR13"/>
  <c r="BQ13"/>
  <c r="BL13"/>
  <c r="BK13"/>
  <c r="BF13"/>
  <c r="BE13"/>
  <c r="BD13"/>
  <c r="BC13"/>
  <c r="AZ13"/>
  <c r="DT13" s="1"/>
  <c r="AY13"/>
  <c r="DS13" s="1"/>
  <c r="AX13"/>
  <c r="AW13"/>
  <c r="AT13"/>
  <c r="AS13"/>
  <c r="AP13"/>
  <c r="AO13"/>
  <c r="AL13"/>
  <c r="AK13"/>
  <c r="AH13"/>
  <c r="AG13"/>
  <c r="AD13"/>
  <c r="AC13"/>
  <c r="Z13"/>
  <c r="Y13"/>
  <c r="V13"/>
  <c r="U13"/>
  <c r="R13"/>
  <c r="Q13"/>
  <c r="N13"/>
  <c r="M13"/>
  <c r="J13"/>
  <c r="I13"/>
  <c r="H13"/>
  <c r="G13"/>
  <c r="D13"/>
  <c r="C13"/>
  <c r="AX12"/>
  <c r="AW12"/>
  <c r="AT12"/>
  <c r="AS12"/>
  <c r="AP12"/>
  <c r="AO12"/>
  <c r="AL12"/>
  <c r="AK12"/>
  <c r="AH12"/>
  <c r="AG12"/>
  <c r="AD12"/>
  <c r="AC12"/>
  <c r="Z12"/>
  <c r="Y12"/>
  <c r="V12"/>
  <c r="U12"/>
  <c r="R12"/>
  <c r="Q12"/>
  <c r="N12"/>
  <c r="M12"/>
  <c r="J12"/>
  <c r="I12"/>
  <c r="H12"/>
  <c r="G12"/>
  <c r="D12"/>
  <c r="C12"/>
  <c r="DR11"/>
  <c r="DQ11"/>
  <c r="DP11"/>
  <c r="DO11"/>
  <c r="DN11"/>
  <c r="DM11"/>
  <c r="DH11"/>
  <c r="DG11"/>
  <c r="DB11"/>
  <c r="DA11"/>
  <c r="CV11"/>
  <c r="CU11"/>
  <c r="CP11"/>
  <c r="CO11"/>
  <c r="CJ11"/>
  <c r="CI11"/>
  <c r="CD11"/>
  <c r="CC11"/>
  <c r="BX11"/>
  <c r="BW11"/>
  <c r="BR11"/>
  <c r="BQ11"/>
  <c r="BL11"/>
  <c r="BK11"/>
  <c r="BF11"/>
  <c r="BE11"/>
  <c r="BD11"/>
  <c r="BC11"/>
  <c r="AZ11"/>
  <c r="DT11" s="1"/>
  <c r="AY11"/>
  <c r="DS11" s="1"/>
  <c r="AX11"/>
  <c r="AW11"/>
  <c r="AT11"/>
  <c r="AS11"/>
  <c r="AP11"/>
  <c r="AO11"/>
  <c r="AL11"/>
  <c r="AK11"/>
  <c r="AH11"/>
  <c r="AG11"/>
  <c r="AD11"/>
  <c r="AC11"/>
  <c r="Z11"/>
  <c r="Y11"/>
  <c r="V11"/>
  <c r="U11"/>
  <c r="R11"/>
  <c r="Q11"/>
  <c r="N11"/>
  <c r="M11"/>
  <c r="J11"/>
  <c r="I11"/>
  <c r="H11"/>
  <c r="G11"/>
  <c r="D11"/>
  <c r="C11"/>
  <c r="BN8"/>
  <c r="BR8" s="1"/>
  <c r="BT8" s="1"/>
  <c r="BM8"/>
  <c r="BQ8" s="1"/>
  <c r="BS8" s="1"/>
  <c r="BH8"/>
  <c r="BJ8" s="1"/>
  <c r="BG8"/>
  <c r="BI8" s="1"/>
  <c r="AY8"/>
  <c r="BA8" s="1"/>
  <c r="H8"/>
  <c r="J8" s="1"/>
  <c r="L8" s="1"/>
  <c r="N8" s="1"/>
  <c r="P8" s="1"/>
  <c r="R8" s="1"/>
  <c r="T8" s="1"/>
  <c r="V8" s="1"/>
  <c r="X8" s="1"/>
  <c r="Z8" s="1"/>
  <c r="AB8" s="1"/>
  <c r="AD8" s="1"/>
  <c r="AF8" s="1"/>
  <c r="AH8" s="1"/>
  <c r="AJ8" s="1"/>
  <c r="AL8" s="1"/>
  <c r="AN8" s="1"/>
  <c r="AP8" s="1"/>
  <c r="AR8" s="1"/>
  <c r="AT8" s="1"/>
  <c r="AV8" s="1"/>
  <c r="AX8" s="1"/>
  <c r="G8"/>
  <c r="I8" s="1"/>
  <c r="K8" s="1"/>
  <c r="M8" s="1"/>
  <c r="O8" s="1"/>
  <c r="Q8" s="1"/>
  <c r="S8" s="1"/>
  <c r="U8" s="1"/>
  <c r="W8" s="1"/>
  <c r="Y8" s="1"/>
  <c r="AA8" s="1"/>
  <c r="AC8" s="1"/>
  <c r="AE8" s="1"/>
  <c r="AG8" s="1"/>
  <c r="AI8" s="1"/>
  <c r="AK8" s="1"/>
  <c r="AM8" s="1"/>
  <c r="AO8" s="1"/>
  <c r="AQ8" s="1"/>
  <c r="AS8" s="1"/>
  <c r="AU8" s="1"/>
  <c r="AW8" s="1"/>
  <c r="DO7"/>
  <c r="DO113" s="1"/>
  <c r="AA5" i="9"/>
  <c r="D5"/>
  <c r="C5"/>
  <c r="BI7" i="10"/>
  <c r="BI7" i="9"/>
  <c r="BI113" s="1"/>
  <c r="E103" i="11" l="1"/>
  <c r="DU103" s="1"/>
  <c r="F106"/>
  <c r="DV106" s="1"/>
  <c r="BH11"/>
  <c r="L13"/>
  <c r="BJ13" s="1"/>
  <c r="L14"/>
  <c r="L17"/>
  <c r="P17" s="1"/>
  <c r="F18"/>
  <c r="DV18" s="1"/>
  <c r="F19"/>
  <c r="DV19" s="1"/>
  <c r="F22"/>
  <c r="DV22" s="1"/>
  <c r="F25"/>
  <c r="DV25" s="1"/>
  <c r="F30"/>
  <c r="DV30" s="1"/>
  <c r="BH106"/>
  <c r="BN106" s="1"/>
  <c r="BT106" s="1"/>
  <c r="BZ106" s="1"/>
  <c r="CF106" s="1"/>
  <c r="CL106" s="1"/>
  <c r="CR106" s="1"/>
  <c r="CX106" s="1"/>
  <c r="DD106" s="1"/>
  <c r="DJ106" s="1"/>
  <c r="BE49"/>
  <c r="BE47" s="1"/>
  <c r="F97"/>
  <c r="DV97" s="1"/>
  <c r="U101"/>
  <c r="E31"/>
  <c r="DU31" s="1"/>
  <c r="E86"/>
  <c r="BA86" s="1"/>
  <c r="E92"/>
  <c r="DU92" s="1"/>
  <c r="E96"/>
  <c r="DU96" s="1"/>
  <c r="BH97"/>
  <c r="BN97" s="1"/>
  <c r="BT97" s="1"/>
  <c r="BZ97" s="1"/>
  <c r="CF97" s="1"/>
  <c r="CL97" s="1"/>
  <c r="CR97" s="1"/>
  <c r="CX97" s="1"/>
  <c r="DD97" s="1"/>
  <c r="DJ97" s="1"/>
  <c r="F50"/>
  <c r="DV50" s="1"/>
  <c r="DP49"/>
  <c r="F71"/>
  <c r="BB71" s="1"/>
  <c r="AZ84"/>
  <c r="DT84" s="1"/>
  <c r="Q49"/>
  <c r="CU49"/>
  <c r="CU47" s="1"/>
  <c r="DQ49"/>
  <c r="DQ47" s="1"/>
  <c r="L99"/>
  <c r="P99" s="1"/>
  <c r="J38"/>
  <c r="AP38"/>
  <c r="BD38"/>
  <c r="BX38"/>
  <c r="F42"/>
  <c r="DV42" s="1"/>
  <c r="F43"/>
  <c r="DV43" s="1"/>
  <c r="F44"/>
  <c r="DV44" s="1"/>
  <c r="F51"/>
  <c r="DV51" s="1"/>
  <c r="L53"/>
  <c r="P53" s="1"/>
  <c r="F70"/>
  <c r="BB70" s="1"/>
  <c r="F111"/>
  <c r="DV111" s="1"/>
  <c r="BH25"/>
  <c r="BN25" s="1"/>
  <c r="BT25" s="1"/>
  <c r="BZ25" s="1"/>
  <c r="CF25" s="1"/>
  <c r="CL25" s="1"/>
  <c r="CR25" s="1"/>
  <c r="CX25" s="1"/>
  <c r="DD25" s="1"/>
  <c r="DJ25" s="1"/>
  <c r="E54"/>
  <c r="DU54" s="1"/>
  <c r="E61"/>
  <c r="DU61" s="1"/>
  <c r="K62"/>
  <c r="BI62" s="1"/>
  <c r="E68"/>
  <c r="BA68" s="1"/>
  <c r="BH70"/>
  <c r="E71"/>
  <c r="BA71" s="1"/>
  <c r="J84"/>
  <c r="AH84"/>
  <c r="BX84"/>
  <c r="CJ84"/>
  <c r="DH84"/>
  <c r="BG99"/>
  <c r="BM99" s="1"/>
  <c r="BS99" s="1"/>
  <c r="BY99" s="1"/>
  <c r="CE99" s="1"/>
  <c r="CK99" s="1"/>
  <c r="CQ99" s="1"/>
  <c r="CW99" s="1"/>
  <c r="DC99" s="1"/>
  <c r="DI99" s="1"/>
  <c r="BH22"/>
  <c r="BN22" s="1"/>
  <c r="BT22" s="1"/>
  <c r="BZ22" s="1"/>
  <c r="CF22" s="1"/>
  <c r="CL22" s="1"/>
  <c r="CR22" s="1"/>
  <c r="CX22" s="1"/>
  <c r="DD22" s="1"/>
  <c r="DJ22" s="1"/>
  <c r="E26"/>
  <c r="DU26" s="1"/>
  <c r="BH44"/>
  <c r="BN44" s="1"/>
  <c r="BT44" s="1"/>
  <c r="BZ44" s="1"/>
  <c r="CF44" s="1"/>
  <c r="CL44" s="1"/>
  <c r="CR44" s="1"/>
  <c r="CX44" s="1"/>
  <c r="DD44" s="1"/>
  <c r="DJ44" s="1"/>
  <c r="F48"/>
  <c r="DV48" s="1"/>
  <c r="F67"/>
  <c r="BB67" s="1"/>
  <c r="F69"/>
  <c r="BB69" s="1"/>
  <c r="BH71"/>
  <c r="F72"/>
  <c r="BB72" s="1"/>
  <c r="F79"/>
  <c r="DV79" s="1"/>
  <c r="F80"/>
  <c r="DV80" s="1"/>
  <c r="F82"/>
  <c r="DV82" s="1"/>
  <c r="F83"/>
  <c r="DV83" s="1"/>
  <c r="F98"/>
  <c r="DV98" s="1"/>
  <c r="F100"/>
  <c r="DV100" s="1"/>
  <c r="F103"/>
  <c r="DV103" s="1"/>
  <c r="L105"/>
  <c r="BJ105" s="1"/>
  <c r="E106"/>
  <c r="DU106" s="1"/>
  <c r="E108"/>
  <c r="BA108" s="1"/>
  <c r="K109"/>
  <c r="BI109" s="1"/>
  <c r="E110"/>
  <c r="DU110" s="1"/>
  <c r="BH111"/>
  <c r="BN111" s="1"/>
  <c r="BT111" s="1"/>
  <c r="BZ111" s="1"/>
  <c r="CF111" s="1"/>
  <c r="CL111" s="1"/>
  <c r="CR111" s="1"/>
  <c r="CX111" s="1"/>
  <c r="DD111" s="1"/>
  <c r="DJ111" s="1"/>
  <c r="K30"/>
  <c r="BH32"/>
  <c r="BN32" s="1"/>
  <c r="BT32" s="1"/>
  <c r="BZ32" s="1"/>
  <c r="CF32" s="1"/>
  <c r="CL32" s="1"/>
  <c r="CR32" s="1"/>
  <c r="CX32" s="1"/>
  <c r="DD32" s="1"/>
  <c r="DJ32" s="1"/>
  <c r="BH33"/>
  <c r="BN33" s="1"/>
  <c r="BT33" s="1"/>
  <c r="BZ33" s="1"/>
  <c r="CF33" s="1"/>
  <c r="CL33" s="1"/>
  <c r="CR33" s="1"/>
  <c r="CX33" s="1"/>
  <c r="DD33" s="1"/>
  <c r="DJ33" s="1"/>
  <c r="BH34"/>
  <c r="BN34" s="1"/>
  <c r="BT34" s="1"/>
  <c r="BZ34" s="1"/>
  <c r="CF34" s="1"/>
  <c r="CL34" s="1"/>
  <c r="CR34" s="1"/>
  <c r="CX34" s="1"/>
  <c r="DD34" s="1"/>
  <c r="DJ34" s="1"/>
  <c r="BG39"/>
  <c r="K42"/>
  <c r="BI42" s="1"/>
  <c r="E45"/>
  <c r="DU45" s="1"/>
  <c r="BG45"/>
  <c r="BM45" s="1"/>
  <c r="BS45" s="1"/>
  <c r="BY45" s="1"/>
  <c r="CE45" s="1"/>
  <c r="CK45" s="1"/>
  <c r="CQ45" s="1"/>
  <c r="CW45" s="1"/>
  <c r="DC45" s="1"/>
  <c r="DI45" s="1"/>
  <c r="BH48"/>
  <c r="F56"/>
  <c r="DV56" s="1"/>
  <c r="L65"/>
  <c r="BJ65" s="1"/>
  <c r="E72"/>
  <c r="BA72" s="1"/>
  <c r="Z84"/>
  <c r="AP84"/>
  <c r="AX84"/>
  <c r="BL84"/>
  <c r="CV84"/>
  <c r="DP84"/>
  <c r="E99"/>
  <c r="DU99" s="1"/>
  <c r="K12"/>
  <c r="BI12" s="1"/>
  <c r="E29"/>
  <c r="BH30"/>
  <c r="BN30" s="1"/>
  <c r="BT30" s="1"/>
  <c r="BZ30" s="1"/>
  <c r="CF30" s="1"/>
  <c r="CL30" s="1"/>
  <c r="CR30" s="1"/>
  <c r="CX30" s="1"/>
  <c r="DD30" s="1"/>
  <c r="DJ30" s="1"/>
  <c r="BG31"/>
  <c r="BM31" s="1"/>
  <c r="BS31" s="1"/>
  <c r="BY31" s="1"/>
  <c r="CE31" s="1"/>
  <c r="CK31" s="1"/>
  <c r="CQ31" s="1"/>
  <c r="CW31" s="1"/>
  <c r="DC31" s="1"/>
  <c r="DI31" s="1"/>
  <c r="E64"/>
  <c r="BA64" s="1"/>
  <c r="E66"/>
  <c r="BA66" s="1"/>
  <c r="BG66"/>
  <c r="BH67"/>
  <c r="F68"/>
  <c r="BB68" s="1"/>
  <c r="F73"/>
  <c r="BB73" s="1"/>
  <c r="N84"/>
  <c r="V84"/>
  <c r="AD84"/>
  <c r="AT84"/>
  <c r="BF84"/>
  <c r="CD84"/>
  <c r="DB84"/>
  <c r="DR84"/>
  <c r="F93"/>
  <c r="DV93" s="1"/>
  <c r="F96"/>
  <c r="DV96" s="1"/>
  <c r="BH98"/>
  <c r="BN98" s="1"/>
  <c r="BT98" s="1"/>
  <c r="BZ98" s="1"/>
  <c r="CF98" s="1"/>
  <c r="CL98" s="1"/>
  <c r="CR98" s="1"/>
  <c r="CX98" s="1"/>
  <c r="DD98" s="1"/>
  <c r="DJ98" s="1"/>
  <c r="BG103"/>
  <c r="BM103" s="1"/>
  <c r="BS103" s="1"/>
  <c r="BY103" s="1"/>
  <c r="CE103" s="1"/>
  <c r="CK103" s="1"/>
  <c r="CQ103" s="1"/>
  <c r="CW103" s="1"/>
  <c r="DC103" s="1"/>
  <c r="DI103" s="1"/>
  <c r="AY101"/>
  <c r="DS101" s="1"/>
  <c r="CO101"/>
  <c r="F32"/>
  <c r="DV32" s="1"/>
  <c r="Z38"/>
  <c r="CV38"/>
  <c r="BH43"/>
  <c r="BN43" s="1"/>
  <c r="BT43" s="1"/>
  <c r="BZ43" s="1"/>
  <c r="CF43" s="1"/>
  <c r="CL43" s="1"/>
  <c r="CR43" s="1"/>
  <c r="CX43" s="1"/>
  <c r="DD43" s="1"/>
  <c r="DJ43" s="1"/>
  <c r="L45"/>
  <c r="P45" s="1"/>
  <c r="F46"/>
  <c r="DV46" s="1"/>
  <c r="F54"/>
  <c r="DV54" s="1"/>
  <c r="BH54"/>
  <c r="F55"/>
  <c r="DV55" s="1"/>
  <c r="K57"/>
  <c r="BI57" s="1"/>
  <c r="BG58"/>
  <c r="BM58" s="1"/>
  <c r="BS58" s="1"/>
  <c r="BY58" s="1"/>
  <c r="CE58" s="1"/>
  <c r="CK58" s="1"/>
  <c r="CQ58" s="1"/>
  <c r="CW58" s="1"/>
  <c r="DC58" s="1"/>
  <c r="DI58" s="1"/>
  <c r="BH68"/>
  <c r="E69"/>
  <c r="BA69" s="1"/>
  <c r="BH72"/>
  <c r="E73"/>
  <c r="BA73" s="1"/>
  <c r="K79"/>
  <c r="O79" s="1"/>
  <c r="BH80"/>
  <c r="BN80" s="1"/>
  <c r="BT80" s="1"/>
  <c r="BZ80" s="1"/>
  <c r="CF80" s="1"/>
  <c r="CL80" s="1"/>
  <c r="CR80" s="1"/>
  <c r="CX80" s="1"/>
  <c r="DD80" s="1"/>
  <c r="DJ80" s="1"/>
  <c r="F86"/>
  <c r="BH93"/>
  <c r="BN93" s="1"/>
  <c r="BT93" s="1"/>
  <c r="BZ93" s="1"/>
  <c r="CF93" s="1"/>
  <c r="CL93" s="1"/>
  <c r="CR93" s="1"/>
  <c r="CX93" s="1"/>
  <c r="DD93" s="1"/>
  <c r="DJ93" s="1"/>
  <c r="E104"/>
  <c r="DU104" s="1"/>
  <c r="M101"/>
  <c r="AC101"/>
  <c r="AK101"/>
  <c r="AS101"/>
  <c r="BE101"/>
  <c r="BQ101"/>
  <c r="CC101"/>
  <c r="DA101"/>
  <c r="DM101"/>
  <c r="DQ101"/>
  <c r="K105"/>
  <c r="BI105" s="1"/>
  <c r="BG106"/>
  <c r="BM106" s="1"/>
  <c r="BS106" s="1"/>
  <c r="BY106" s="1"/>
  <c r="CE106" s="1"/>
  <c r="CK106" s="1"/>
  <c r="CQ106" s="1"/>
  <c r="CW106" s="1"/>
  <c r="DC106" s="1"/>
  <c r="DI106" s="1"/>
  <c r="C101"/>
  <c r="BG108"/>
  <c r="BM108" s="1"/>
  <c r="BS108" s="1"/>
  <c r="BY108" s="1"/>
  <c r="CE108" s="1"/>
  <c r="CK108" s="1"/>
  <c r="CQ108" s="1"/>
  <c r="CW108" s="1"/>
  <c r="DC108" s="1"/>
  <c r="DI108" s="1"/>
  <c r="K18"/>
  <c r="O18" s="1"/>
  <c r="BH19"/>
  <c r="BN19" s="1"/>
  <c r="BT19" s="1"/>
  <c r="BZ19" s="1"/>
  <c r="CF19" s="1"/>
  <c r="CL19" s="1"/>
  <c r="CR19" s="1"/>
  <c r="CX19" s="1"/>
  <c r="DD19" s="1"/>
  <c r="DJ19" s="1"/>
  <c r="BG23"/>
  <c r="BM23" s="1"/>
  <c r="BS23" s="1"/>
  <c r="BY23" s="1"/>
  <c r="CE23" s="1"/>
  <c r="CK23" s="1"/>
  <c r="CQ23" s="1"/>
  <c r="CW23" s="1"/>
  <c r="DC23" s="1"/>
  <c r="DI23" s="1"/>
  <c r="AP27"/>
  <c r="F35"/>
  <c r="DV35" s="1"/>
  <c r="L36"/>
  <c r="P36" s="1"/>
  <c r="F39"/>
  <c r="DV39" s="1"/>
  <c r="L40"/>
  <c r="F41"/>
  <c r="DV41" s="1"/>
  <c r="DP38"/>
  <c r="K46"/>
  <c r="BI46" s="1"/>
  <c r="G49"/>
  <c r="DO49"/>
  <c r="DO47" s="1"/>
  <c r="C49"/>
  <c r="C47" s="1"/>
  <c r="AG49"/>
  <c r="AG47" s="1"/>
  <c r="AW49"/>
  <c r="AW47" s="1"/>
  <c r="BW49"/>
  <c r="BW47" s="1"/>
  <c r="K52"/>
  <c r="BI52" s="1"/>
  <c r="K55"/>
  <c r="BI55" s="1"/>
  <c r="BH56"/>
  <c r="BN56" s="1"/>
  <c r="BT56" s="1"/>
  <c r="BZ56" s="1"/>
  <c r="CF56" s="1"/>
  <c r="CL56" s="1"/>
  <c r="CR56" s="1"/>
  <c r="CX56" s="1"/>
  <c r="DD56" s="1"/>
  <c r="DJ56" s="1"/>
  <c r="L58"/>
  <c r="BJ58" s="1"/>
  <c r="L59"/>
  <c r="BJ59" s="1"/>
  <c r="L61"/>
  <c r="P61" s="1"/>
  <c r="L62"/>
  <c r="BJ62" s="1"/>
  <c r="K64"/>
  <c r="BI64" s="1"/>
  <c r="BG65"/>
  <c r="BH69"/>
  <c r="E70"/>
  <c r="BA70" s="1"/>
  <c r="BH73"/>
  <c r="BH79"/>
  <c r="BN79" s="1"/>
  <c r="BG80"/>
  <c r="BM80" s="1"/>
  <c r="BS80" s="1"/>
  <c r="BY80" s="1"/>
  <c r="CE80" s="1"/>
  <c r="CK80" s="1"/>
  <c r="CQ80" s="1"/>
  <c r="CW80" s="1"/>
  <c r="DC80" s="1"/>
  <c r="DI80" s="1"/>
  <c r="K102"/>
  <c r="BI102" s="1"/>
  <c r="F108"/>
  <c r="DV108" s="1"/>
  <c r="F109"/>
  <c r="DV109" s="1"/>
  <c r="E112"/>
  <c r="DU112" s="1"/>
  <c r="F23"/>
  <c r="DV23" s="1"/>
  <c r="L24"/>
  <c r="BJ24" s="1"/>
  <c r="K25"/>
  <c r="O25" s="1"/>
  <c r="K36"/>
  <c r="BI36" s="1"/>
  <c r="K41"/>
  <c r="BI41" s="1"/>
  <c r="Q47"/>
  <c r="AK49"/>
  <c r="AK47" s="1"/>
  <c r="D101"/>
  <c r="L20"/>
  <c r="P20" s="1"/>
  <c r="L21"/>
  <c r="P21" s="1"/>
  <c r="K22"/>
  <c r="BH23"/>
  <c r="BN23" s="1"/>
  <c r="BT23" s="1"/>
  <c r="BZ23" s="1"/>
  <c r="CF23" s="1"/>
  <c r="CL23" s="1"/>
  <c r="CR23" s="1"/>
  <c r="CX23" s="1"/>
  <c r="DD23" s="1"/>
  <c r="DJ23" s="1"/>
  <c r="L26"/>
  <c r="BJ26" s="1"/>
  <c r="K28"/>
  <c r="O28" s="1"/>
  <c r="J27"/>
  <c r="R27"/>
  <c r="AH27"/>
  <c r="BH29"/>
  <c r="BN29" s="1"/>
  <c r="BT29" s="1"/>
  <c r="BZ29" s="1"/>
  <c r="CF29" s="1"/>
  <c r="CL29" s="1"/>
  <c r="CR29" s="1"/>
  <c r="CX29" s="1"/>
  <c r="DD29" s="1"/>
  <c r="DJ29" s="1"/>
  <c r="BL27"/>
  <c r="BX27"/>
  <c r="CJ27"/>
  <c r="CV27"/>
  <c r="L31"/>
  <c r="K40"/>
  <c r="BI40" s="1"/>
  <c r="BH41"/>
  <c r="K48"/>
  <c r="BI48" s="1"/>
  <c r="K82"/>
  <c r="BH83"/>
  <c r="BN83" s="1"/>
  <c r="BT83" s="1"/>
  <c r="BZ83" s="1"/>
  <c r="CF83" s="1"/>
  <c r="CL83" s="1"/>
  <c r="CR83" s="1"/>
  <c r="CX83" s="1"/>
  <c r="DD83" s="1"/>
  <c r="DJ83" s="1"/>
  <c r="BG96"/>
  <c r="BM96" s="1"/>
  <c r="BS96" s="1"/>
  <c r="BY96" s="1"/>
  <c r="CE96" s="1"/>
  <c r="CK96" s="1"/>
  <c r="CQ96" s="1"/>
  <c r="CW96" s="1"/>
  <c r="DC96" s="1"/>
  <c r="DI96" s="1"/>
  <c r="DR94"/>
  <c r="DR91" s="1"/>
  <c r="K98"/>
  <c r="G101"/>
  <c r="Q101"/>
  <c r="AG101"/>
  <c r="AW101"/>
  <c r="BK101"/>
  <c r="CI101"/>
  <c r="DG101"/>
  <c r="I101"/>
  <c r="Y101"/>
  <c r="AO101"/>
  <c r="BG104"/>
  <c r="BM104" s="1"/>
  <c r="BS104" s="1"/>
  <c r="BY104" s="1"/>
  <c r="CE104" s="1"/>
  <c r="CK104" s="1"/>
  <c r="CQ104" s="1"/>
  <c r="CW104" s="1"/>
  <c r="DC104" s="1"/>
  <c r="DI104" s="1"/>
  <c r="BC101"/>
  <c r="BW101"/>
  <c r="CU101"/>
  <c r="DO101"/>
  <c r="K107"/>
  <c r="BI107" s="1"/>
  <c r="BG110"/>
  <c r="BM110" s="1"/>
  <c r="BS110" s="1"/>
  <c r="BY110" s="1"/>
  <c r="CE110" s="1"/>
  <c r="CK110" s="1"/>
  <c r="CQ110" s="1"/>
  <c r="CW110" s="1"/>
  <c r="DC110" s="1"/>
  <c r="DI110" s="1"/>
  <c r="D38"/>
  <c r="U49"/>
  <c r="U47" s="1"/>
  <c r="K13"/>
  <c r="K14"/>
  <c r="BI14" s="1"/>
  <c r="K17"/>
  <c r="BI17" s="1"/>
  <c r="BH18"/>
  <c r="BN18" s="1"/>
  <c r="BT18" s="1"/>
  <c r="BZ18" s="1"/>
  <c r="CF18" s="1"/>
  <c r="CL18" s="1"/>
  <c r="CR18" s="1"/>
  <c r="CX18" s="1"/>
  <c r="DD18" s="1"/>
  <c r="DJ18" s="1"/>
  <c r="BG19"/>
  <c r="BM19" s="1"/>
  <c r="BS19" s="1"/>
  <c r="BY19" s="1"/>
  <c r="CE19" s="1"/>
  <c r="CK19" s="1"/>
  <c r="CQ19" s="1"/>
  <c r="CW19" s="1"/>
  <c r="DC19" s="1"/>
  <c r="DI19" s="1"/>
  <c r="BG20"/>
  <c r="BM20" s="1"/>
  <c r="BS20" s="1"/>
  <c r="BY20" s="1"/>
  <c r="CE20" s="1"/>
  <c r="CK20" s="1"/>
  <c r="CQ20" s="1"/>
  <c r="CW20" s="1"/>
  <c r="DC20" s="1"/>
  <c r="DI20" s="1"/>
  <c r="BG21"/>
  <c r="BM21" s="1"/>
  <c r="BS21" s="1"/>
  <c r="BY21" s="1"/>
  <c r="CE21" s="1"/>
  <c r="CK21" s="1"/>
  <c r="CQ21" s="1"/>
  <c r="CW21" s="1"/>
  <c r="DC21" s="1"/>
  <c r="DI21" s="1"/>
  <c r="BG35"/>
  <c r="BM35" s="1"/>
  <c r="BS35" s="1"/>
  <c r="BY35" s="1"/>
  <c r="CE35" s="1"/>
  <c r="CK35" s="1"/>
  <c r="CQ35" s="1"/>
  <c r="CW35" s="1"/>
  <c r="DC35" s="1"/>
  <c r="DI35" s="1"/>
  <c r="K44"/>
  <c r="AZ49"/>
  <c r="DT49" s="1"/>
  <c r="K51"/>
  <c r="BI51" s="1"/>
  <c r="K53"/>
  <c r="BI53" s="1"/>
  <c r="BG54"/>
  <c r="BH55"/>
  <c r="BN55" s="1"/>
  <c r="BT55" s="1"/>
  <c r="BG56"/>
  <c r="BM56" s="1"/>
  <c r="BS56" s="1"/>
  <c r="BY56" s="1"/>
  <c r="CE56" s="1"/>
  <c r="CK56" s="1"/>
  <c r="CQ56" s="1"/>
  <c r="CW56" s="1"/>
  <c r="DC56" s="1"/>
  <c r="DI56" s="1"/>
  <c r="K59"/>
  <c r="BI59" s="1"/>
  <c r="BG60"/>
  <c r="L63"/>
  <c r="BJ63" s="1"/>
  <c r="L66"/>
  <c r="BJ66" s="1"/>
  <c r="BG67"/>
  <c r="BG68"/>
  <c r="BG69"/>
  <c r="BG70"/>
  <c r="BG71"/>
  <c r="BG72"/>
  <c r="BG73"/>
  <c r="L92"/>
  <c r="BJ92" s="1"/>
  <c r="K93"/>
  <c r="O93" s="1"/>
  <c r="K100"/>
  <c r="O100" s="1"/>
  <c r="BH103"/>
  <c r="BN103" s="1"/>
  <c r="BT103" s="1"/>
  <c r="BZ103" s="1"/>
  <c r="CF103" s="1"/>
  <c r="CL103" s="1"/>
  <c r="CR103" s="1"/>
  <c r="CX103" s="1"/>
  <c r="DD103" s="1"/>
  <c r="DJ103" s="1"/>
  <c r="BH109"/>
  <c r="BN109" s="1"/>
  <c r="BT109" s="1"/>
  <c r="BZ109" s="1"/>
  <c r="CF109" s="1"/>
  <c r="CL109" s="1"/>
  <c r="CR109" s="1"/>
  <c r="CX109" s="1"/>
  <c r="DD109" s="1"/>
  <c r="DJ109" s="1"/>
  <c r="BG112"/>
  <c r="BM112" s="1"/>
  <c r="BS112" s="1"/>
  <c r="BY112" s="1"/>
  <c r="CE112" s="1"/>
  <c r="CK112" s="1"/>
  <c r="CQ112" s="1"/>
  <c r="CW112" s="1"/>
  <c r="DC112" s="1"/>
  <c r="DI112" s="1"/>
  <c r="BG24"/>
  <c r="BM24" s="1"/>
  <c r="BS24" s="1"/>
  <c r="BY24" s="1"/>
  <c r="CE24" s="1"/>
  <c r="CK24" s="1"/>
  <c r="CQ24" s="1"/>
  <c r="CW24" s="1"/>
  <c r="DC24" s="1"/>
  <c r="DI24" s="1"/>
  <c r="K26"/>
  <c r="O26" s="1"/>
  <c r="BH28"/>
  <c r="BN28" s="1"/>
  <c r="BG29"/>
  <c r="BM29" s="1"/>
  <c r="BS29" s="1"/>
  <c r="BY29" s="1"/>
  <c r="CE29" s="1"/>
  <c r="CK29" s="1"/>
  <c r="CQ29" s="1"/>
  <c r="CW29" s="1"/>
  <c r="DC29" s="1"/>
  <c r="DI29" s="1"/>
  <c r="K32"/>
  <c r="BI32" s="1"/>
  <c r="K33"/>
  <c r="O33" s="1"/>
  <c r="BH35"/>
  <c r="BN35" s="1"/>
  <c r="BT35" s="1"/>
  <c r="BZ35" s="1"/>
  <c r="CF35" s="1"/>
  <c r="CL35" s="1"/>
  <c r="CR35" s="1"/>
  <c r="CX35" s="1"/>
  <c r="DD35" s="1"/>
  <c r="DJ35" s="1"/>
  <c r="R38"/>
  <c r="AX38"/>
  <c r="BH39"/>
  <c r="BN39" s="1"/>
  <c r="CJ38"/>
  <c r="AH38"/>
  <c r="BL38"/>
  <c r="DH38"/>
  <c r="BH42"/>
  <c r="BN42" s="1"/>
  <c r="BT42" s="1"/>
  <c r="BZ42" s="1"/>
  <c r="CF42" s="1"/>
  <c r="CL42" s="1"/>
  <c r="CR42" s="1"/>
  <c r="CX42" s="1"/>
  <c r="DD42" s="1"/>
  <c r="DJ42" s="1"/>
  <c r="BG43"/>
  <c r="BM43" s="1"/>
  <c r="BS43" s="1"/>
  <c r="BY43" s="1"/>
  <c r="CE43" s="1"/>
  <c r="CK43" s="1"/>
  <c r="CQ43" s="1"/>
  <c r="CW43" s="1"/>
  <c r="DC43" s="1"/>
  <c r="DI43" s="1"/>
  <c r="BH46"/>
  <c r="D49"/>
  <c r="I49"/>
  <c r="I47" s="1"/>
  <c r="Y49"/>
  <c r="Y47" s="1"/>
  <c r="AO49"/>
  <c r="AO47" s="1"/>
  <c r="BK49"/>
  <c r="BK47" s="1"/>
  <c r="BQ49"/>
  <c r="BQ47" s="1"/>
  <c r="CC49"/>
  <c r="CC47" s="1"/>
  <c r="CI49"/>
  <c r="CI47" s="1"/>
  <c r="CO49"/>
  <c r="CO47" s="1"/>
  <c r="DA49"/>
  <c r="DA47" s="1"/>
  <c r="DG49"/>
  <c r="DG47" s="1"/>
  <c r="DM49"/>
  <c r="DM47" s="1"/>
  <c r="J49"/>
  <c r="J47" s="1"/>
  <c r="J37" s="1"/>
  <c r="BH51"/>
  <c r="L52"/>
  <c r="BJ52" s="1"/>
  <c r="BF49"/>
  <c r="BF47" s="1"/>
  <c r="L57"/>
  <c r="BJ57" s="1"/>
  <c r="L60"/>
  <c r="BJ60" s="1"/>
  <c r="BG61"/>
  <c r="BM61" s="1"/>
  <c r="BS61" s="1"/>
  <c r="BY61" s="1"/>
  <c r="CE61" s="1"/>
  <c r="CK61" s="1"/>
  <c r="CQ61" s="1"/>
  <c r="CW61" s="1"/>
  <c r="DC61" s="1"/>
  <c r="DI61" s="1"/>
  <c r="K63"/>
  <c r="BI63" s="1"/>
  <c r="L64"/>
  <c r="BJ64" s="1"/>
  <c r="C78"/>
  <c r="V78"/>
  <c r="BH82"/>
  <c r="BN82" s="1"/>
  <c r="CJ81"/>
  <c r="BG83"/>
  <c r="BM83" s="1"/>
  <c r="BS83" s="1"/>
  <c r="BY83" s="1"/>
  <c r="CE83" s="1"/>
  <c r="CK83" s="1"/>
  <c r="CQ83" s="1"/>
  <c r="CW83" s="1"/>
  <c r="DC83" s="1"/>
  <c r="DI83" s="1"/>
  <c r="L85"/>
  <c r="BJ85" s="1"/>
  <c r="BG92"/>
  <c r="BM92" s="1"/>
  <c r="L95"/>
  <c r="BJ95" s="1"/>
  <c r="BH96"/>
  <c r="BN96" s="1"/>
  <c r="BT96" s="1"/>
  <c r="BZ96" s="1"/>
  <c r="CF96" s="1"/>
  <c r="CL96" s="1"/>
  <c r="CR96" s="1"/>
  <c r="CX96" s="1"/>
  <c r="DD96" s="1"/>
  <c r="DJ96" s="1"/>
  <c r="BG97"/>
  <c r="BM97" s="1"/>
  <c r="BS97" s="1"/>
  <c r="BY97" s="1"/>
  <c r="CE97" s="1"/>
  <c r="CK97" s="1"/>
  <c r="CQ97" s="1"/>
  <c r="CW97" s="1"/>
  <c r="DC97" s="1"/>
  <c r="DI97" s="1"/>
  <c r="BH100"/>
  <c r="BN100" s="1"/>
  <c r="BT100" s="1"/>
  <c r="BZ100" s="1"/>
  <c r="CF100" s="1"/>
  <c r="CL100" s="1"/>
  <c r="CR100" s="1"/>
  <c r="CX100" s="1"/>
  <c r="DD100" s="1"/>
  <c r="DJ100" s="1"/>
  <c r="BH108"/>
  <c r="BN108" s="1"/>
  <c r="BT108" s="1"/>
  <c r="BZ108" s="1"/>
  <c r="CF108" s="1"/>
  <c r="CL108" s="1"/>
  <c r="CR108" s="1"/>
  <c r="CX108" s="1"/>
  <c r="DD108" s="1"/>
  <c r="DJ108" s="1"/>
  <c r="L110"/>
  <c r="BJ110" s="1"/>
  <c r="K111"/>
  <c r="BI111" s="1"/>
  <c r="C81"/>
  <c r="BG13"/>
  <c r="BM13" s="1"/>
  <c r="BS13" s="1"/>
  <c r="BY13" s="1"/>
  <c r="CE13" s="1"/>
  <c r="CK13" s="1"/>
  <c r="CQ13" s="1"/>
  <c r="CW13" s="1"/>
  <c r="DC13" s="1"/>
  <c r="DI13" s="1"/>
  <c r="BG14"/>
  <c r="BM14" s="1"/>
  <c r="BS14" s="1"/>
  <c r="BY14" s="1"/>
  <c r="CE14" s="1"/>
  <c r="CK14" s="1"/>
  <c r="CQ14" s="1"/>
  <c r="CW14" s="1"/>
  <c r="DC14" s="1"/>
  <c r="DI14" s="1"/>
  <c r="BG17"/>
  <c r="BM17" s="1"/>
  <c r="BS17" s="1"/>
  <c r="BY17" s="1"/>
  <c r="CE17" s="1"/>
  <c r="CK17" s="1"/>
  <c r="CQ17" s="1"/>
  <c r="CW17" s="1"/>
  <c r="DC17" s="1"/>
  <c r="DI17" s="1"/>
  <c r="L18"/>
  <c r="BJ18" s="1"/>
  <c r="K19"/>
  <c r="O19" s="1"/>
  <c r="F20"/>
  <c r="DV20" s="1"/>
  <c r="BH20"/>
  <c r="BN20" s="1"/>
  <c r="BT20" s="1"/>
  <c r="BZ20" s="1"/>
  <c r="CF20" s="1"/>
  <c r="CL20" s="1"/>
  <c r="CR20" s="1"/>
  <c r="CX20" s="1"/>
  <c r="DD20" s="1"/>
  <c r="DJ20" s="1"/>
  <c r="K24"/>
  <c r="BI24" s="1"/>
  <c r="E25"/>
  <c r="DU25" s="1"/>
  <c r="BG25"/>
  <c r="BM25" s="1"/>
  <c r="BS25" s="1"/>
  <c r="BY25" s="1"/>
  <c r="CE25" s="1"/>
  <c r="CK25" s="1"/>
  <c r="CQ25" s="1"/>
  <c r="CW25" s="1"/>
  <c r="DC25" s="1"/>
  <c r="DI25" s="1"/>
  <c r="BG28"/>
  <c r="L29"/>
  <c r="P29" s="1"/>
  <c r="DR27"/>
  <c r="L32"/>
  <c r="BJ32" s="1"/>
  <c r="L33"/>
  <c r="P33" s="1"/>
  <c r="F36"/>
  <c r="DV36" s="1"/>
  <c r="BH36"/>
  <c r="BN36" s="1"/>
  <c r="BT36" s="1"/>
  <c r="BZ36" s="1"/>
  <c r="CF36" s="1"/>
  <c r="CL36" s="1"/>
  <c r="CR36" s="1"/>
  <c r="CX36" s="1"/>
  <c r="DD36" s="1"/>
  <c r="DJ36" s="1"/>
  <c r="F40"/>
  <c r="BB40" s="1"/>
  <c r="BH40"/>
  <c r="BN40" s="1"/>
  <c r="BT40" s="1"/>
  <c r="BZ40" s="1"/>
  <c r="CF40" s="1"/>
  <c r="CL40" s="1"/>
  <c r="CR40" s="1"/>
  <c r="CX40" s="1"/>
  <c r="DD40" s="1"/>
  <c r="DJ40" s="1"/>
  <c r="BG41"/>
  <c r="E42"/>
  <c r="DU42" s="1"/>
  <c r="BG42"/>
  <c r="BM42" s="1"/>
  <c r="BS42" s="1"/>
  <c r="BY42" s="1"/>
  <c r="CE42" s="1"/>
  <c r="CK42" s="1"/>
  <c r="CQ42" s="1"/>
  <c r="CW42" s="1"/>
  <c r="DC42" s="1"/>
  <c r="DI42" s="1"/>
  <c r="L43"/>
  <c r="BJ43" s="1"/>
  <c r="L46"/>
  <c r="BJ46" s="1"/>
  <c r="BG50"/>
  <c r="BC49"/>
  <c r="BG59"/>
  <c r="F60"/>
  <c r="DV60" s="1"/>
  <c r="BH60"/>
  <c r="F61"/>
  <c r="DV61" s="1"/>
  <c r="BH61"/>
  <c r="BN61" s="1"/>
  <c r="BT61" s="1"/>
  <c r="BZ61" s="1"/>
  <c r="CF61" s="1"/>
  <c r="CL61" s="1"/>
  <c r="CR61" s="1"/>
  <c r="CX61" s="1"/>
  <c r="DD61" s="1"/>
  <c r="DJ61" s="1"/>
  <c r="K65"/>
  <c r="BI65" s="1"/>
  <c r="E65"/>
  <c r="BA65" s="1"/>
  <c r="L107"/>
  <c r="BJ107" s="1"/>
  <c r="F107"/>
  <c r="DV107" s="1"/>
  <c r="L11"/>
  <c r="P11" s="1"/>
  <c r="E22"/>
  <c r="DU22" s="1"/>
  <c r="BG22"/>
  <c r="BM22" s="1"/>
  <c r="BS22" s="1"/>
  <c r="BY22" s="1"/>
  <c r="CE22" s="1"/>
  <c r="CK22" s="1"/>
  <c r="CQ22" s="1"/>
  <c r="CW22" s="1"/>
  <c r="DC22" s="1"/>
  <c r="DI22" s="1"/>
  <c r="L23"/>
  <c r="BJ23" s="1"/>
  <c r="BG26"/>
  <c r="BM26" s="1"/>
  <c r="BS26" s="1"/>
  <c r="BY26" s="1"/>
  <c r="CE26" s="1"/>
  <c r="CK26" s="1"/>
  <c r="CQ26" s="1"/>
  <c r="CW26" s="1"/>
  <c r="DC26" s="1"/>
  <c r="DI26" s="1"/>
  <c r="Z27"/>
  <c r="DH27"/>
  <c r="L30"/>
  <c r="BJ30" s="1"/>
  <c r="F31"/>
  <c r="DV31" s="1"/>
  <c r="BH31"/>
  <c r="BN31" s="1"/>
  <c r="BT31" s="1"/>
  <c r="BZ31" s="1"/>
  <c r="CF31" s="1"/>
  <c r="CL31" s="1"/>
  <c r="CR31" s="1"/>
  <c r="CX31" s="1"/>
  <c r="DD31" s="1"/>
  <c r="DJ31" s="1"/>
  <c r="BG34"/>
  <c r="BM34" s="1"/>
  <c r="BS34" s="1"/>
  <c r="BY34" s="1"/>
  <c r="CE34" s="1"/>
  <c r="CK34" s="1"/>
  <c r="CQ34" s="1"/>
  <c r="CW34" s="1"/>
  <c r="DC34" s="1"/>
  <c r="DI34" s="1"/>
  <c r="L35"/>
  <c r="BJ35" s="1"/>
  <c r="L39"/>
  <c r="BJ39" s="1"/>
  <c r="H38"/>
  <c r="N38"/>
  <c r="V38"/>
  <c r="AD38"/>
  <c r="AL38"/>
  <c r="AT38"/>
  <c r="DT39"/>
  <c r="AZ38"/>
  <c r="DT38" s="1"/>
  <c r="BF38"/>
  <c r="BR38"/>
  <c r="CD38"/>
  <c r="CP38"/>
  <c r="DB38"/>
  <c r="DN38"/>
  <c r="DR38"/>
  <c r="L44"/>
  <c r="BJ44" s="1"/>
  <c r="F45"/>
  <c r="DV45" s="1"/>
  <c r="BH45"/>
  <c r="BN45" s="1"/>
  <c r="BT45" s="1"/>
  <c r="BZ45" s="1"/>
  <c r="CF45" s="1"/>
  <c r="CL45" s="1"/>
  <c r="CR45" s="1"/>
  <c r="CX45" s="1"/>
  <c r="DD45" s="1"/>
  <c r="DJ45" s="1"/>
  <c r="L48"/>
  <c r="BJ48" s="1"/>
  <c r="M49"/>
  <c r="M47" s="1"/>
  <c r="AC49"/>
  <c r="AC47" s="1"/>
  <c r="AS49"/>
  <c r="AS47" s="1"/>
  <c r="F53"/>
  <c r="DV53" s="1"/>
  <c r="BH53"/>
  <c r="BN53" s="1"/>
  <c r="BT53" s="1"/>
  <c r="BZ53" s="1"/>
  <c r="CF53" s="1"/>
  <c r="CL53" s="1"/>
  <c r="CR53" s="1"/>
  <c r="CX53" s="1"/>
  <c r="DD53" s="1"/>
  <c r="DJ53" s="1"/>
  <c r="L54"/>
  <c r="BJ54" s="1"/>
  <c r="BG55"/>
  <c r="BM55" s="1"/>
  <c r="BS55" s="1"/>
  <c r="L56"/>
  <c r="P56" s="1"/>
  <c r="BG63"/>
  <c r="L82"/>
  <c r="P82" s="1"/>
  <c r="K83"/>
  <c r="BI83" s="1"/>
  <c r="I84"/>
  <c r="Q84"/>
  <c r="Y84"/>
  <c r="AG84"/>
  <c r="AO84"/>
  <c r="AW84"/>
  <c r="BG85"/>
  <c r="BM85" s="1"/>
  <c r="BC84"/>
  <c r="BK84"/>
  <c r="BW84"/>
  <c r="CI84"/>
  <c r="CU84"/>
  <c r="DG84"/>
  <c r="DO84"/>
  <c r="BG95"/>
  <c r="BM95" s="1"/>
  <c r="BS95" s="1"/>
  <c r="BY95" s="1"/>
  <c r="CE95" s="1"/>
  <c r="CK95" s="1"/>
  <c r="CQ95" s="1"/>
  <c r="CW95" s="1"/>
  <c r="DC95" s="1"/>
  <c r="DI95" s="1"/>
  <c r="K96"/>
  <c r="BI96" s="1"/>
  <c r="J101"/>
  <c r="R101"/>
  <c r="Z101"/>
  <c r="AH101"/>
  <c r="AP101"/>
  <c r="AX101"/>
  <c r="BL101"/>
  <c r="BX101"/>
  <c r="CJ101"/>
  <c r="CV101"/>
  <c r="DH101"/>
  <c r="DP101"/>
  <c r="D47"/>
  <c r="L104"/>
  <c r="BJ104" s="1"/>
  <c r="F104"/>
  <c r="DV104" s="1"/>
  <c r="L112"/>
  <c r="BJ112" s="1"/>
  <c r="F112"/>
  <c r="DV112" s="1"/>
  <c r="K34"/>
  <c r="O34" s="1"/>
  <c r="E34"/>
  <c r="DU34" s="1"/>
  <c r="G47"/>
  <c r="K85"/>
  <c r="BI85" s="1"/>
  <c r="E85"/>
  <c r="BA85" s="1"/>
  <c r="G84"/>
  <c r="DS85"/>
  <c r="AY84"/>
  <c r="DS84" s="1"/>
  <c r="K95"/>
  <c r="O95" s="1"/>
  <c r="E95"/>
  <c r="DU95" s="1"/>
  <c r="L102"/>
  <c r="BJ102" s="1"/>
  <c r="H101"/>
  <c r="F102"/>
  <c r="BB102" s="1"/>
  <c r="N101"/>
  <c r="V101"/>
  <c r="AD101"/>
  <c r="AL101"/>
  <c r="AT101"/>
  <c r="DT102"/>
  <c r="AZ101"/>
  <c r="DT101" s="1"/>
  <c r="BF101"/>
  <c r="BR101"/>
  <c r="CD101"/>
  <c r="CP101"/>
  <c r="DB101"/>
  <c r="DN101"/>
  <c r="DR101"/>
  <c r="L97"/>
  <c r="BJ97" s="1"/>
  <c r="L100"/>
  <c r="P100" s="1"/>
  <c r="BH102"/>
  <c r="BN102" s="1"/>
  <c r="BT102" s="1"/>
  <c r="BZ102" s="1"/>
  <c r="CF102" s="1"/>
  <c r="CL102" s="1"/>
  <c r="CR102" s="1"/>
  <c r="CX102" s="1"/>
  <c r="DD102" s="1"/>
  <c r="DJ102" s="1"/>
  <c r="L103"/>
  <c r="BJ103" s="1"/>
  <c r="BH104"/>
  <c r="BN104" s="1"/>
  <c r="BT104" s="1"/>
  <c r="BZ104" s="1"/>
  <c r="CF104" s="1"/>
  <c r="CL104" s="1"/>
  <c r="CR104" s="1"/>
  <c r="CX104" s="1"/>
  <c r="DD104" s="1"/>
  <c r="DJ104" s="1"/>
  <c r="BH107"/>
  <c r="BN107" s="1"/>
  <c r="BT107" s="1"/>
  <c r="BZ107" s="1"/>
  <c r="CF107" s="1"/>
  <c r="CL107" s="1"/>
  <c r="CR107" s="1"/>
  <c r="CX107" s="1"/>
  <c r="DD107" s="1"/>
  <c r="DJ107" s="1"/>
  <c r="L108"/>
  <c r="BJ108" s="1"/>
  <c r="L111"/>
  <c r="BJ111" s="1"/>
  <c r="BH112"/>
  <c r="BN112" s="1"/>
  <c r="BT112" s="1"/>
  <c r="BZ112" s="1"/>
  <c r="CF112" s="1"/>
  <c r="CL112" s="1"/>
  <c r="CR112" s="1"/>
  <c r="CX112" s="1"/>
  <c r="DD112" s="1"/>
  <c r="DJ112" s="1"/>
  <c r="BG11"/>
  <c r="F13"/>
  <c r="DV13" s="1"/>
  <c r="BH13"/>
  <c r="BN13" s="1"/>
  <c r="BT13" s="1"/>
  <c r="BZ13" s="1"/>
  <c r="CF13" s="1"/>
  <c r="CL13" s="1"/>
  <c r="CR13" s="1"/>
  <c r="CX13" s="1"/>
  <c r="DD13" s="1"/>
  <c r="DJ13" s="1"/>
  <c r="BH14"/>
  <c r="BN14" s="1"/>
  <c r="BT14" s="1"/>
  <c r="BZ14" s="1"/>
  <c r="CF14" s="1"/>
  <c r="CL14" s="1"/>
  <c r="CR14" s="1"/>
  <c r="CX14" s="1"/>
  <c r="DD14" s="1"/>
  <c r="DJ14" s="1"/>
  <c r="BH17"/>
  <c r="BN17" s="1"/>
  <c r="BT17" s="1"/>
  <c r="BZ17" s="1"/>
  <c r="CF17" s="1"/>
  <c r="CL17" s="1"/>
  <c r="CR17" s="1"/>
  <c r="CX17" s="1"/>
  <c r="DD17" s="1"/>
  <c r="DJ17" s="1"/>
  <c r="BG18"/>
  <c r="BM18" s="1"/>
  <c r="BS18" s="1"/>
  <c r="BY18" s="1"/>
  <c r="CE18" s="1"/>
  <c r="CK18" s="1"/>
  <c r="CQ18" s="1"/>
  <c r="CW18" s="1"/>
  <c r="DC18" s="1"/>
  <c r="DI18" s="1"/>
  <c r="L19"/>
  <c r="BJ19" s="1"/>
  <c r="K20"/>
  <c r="BI20" s="1"/>
  <c r="F21"/>
  <c r="DV21" s="1"/>
  <c r="BH21"/>
  <c r="BN21" s="1"/>
  <c r="BT21" s="1"/>
  <c r="BZ21" s="1"/>
  <c r="CF21" s="1"/>
  <c r="CL21" s="1"/>
  <c r="CR21" s="1"/>
  <c r="CX21" s="1"/>
  <c r="DD21" s="1"/>
  <c r="DJ21" s="1"/>
  <c r="L22"/>
  <c r="P22" s="1"/>
  <c r="K23"/>
  <c r="BI23" s="1"/>
  <c r="F24"/>
  <c r="DV24" s="1"/>
  <c r="BH24"/>
  <c r="BN24" s="1"/>
  <c r="BT24" s="1"/>
  <c r="BZ24" s="1"/>
  <c r="CF24" s="1"/>
  <c r="CL24" s="1"/>
  <c r="CR24" s="1"/>
  <c r="CX24" s="1"/>
  <c r="DD24" s="1"/>
  <c r="DJ24" s="1"/>
  <c r="L25"/>
  <c r="P25" s="1"/>
  <c r="F26"/>
  <c r="DV26" s="1"/>
  <c r="BH26"/>
  <c r="BN26" s="1"/>
  <c r="BT26" s="1"/>
  <c r="BZ26" s="1"/>
  <c r="CF26" s="1"/>
  <c r="CL26" s="1"/>
  <c r="CR26" s="1"/>
  <c r="CX26" s="1"/>
  <c r="DD26" s="1"/>
  <c r="DJ26" s="1"/>
  <c r="L28"/>
  <c r="BJ28" s="1"/>
  <c r="K29"/>
  <c r="O29" s="1"/>
  <c r="E30"/>
  <c r="DU30" s="1"/>
  <c r="BG30"/>
  <c r="BM30" s="1"/>
  <c r="BS30" s="1"/>
  <c r="BY30" s="1"/>
  <c r="CE30" s="1"/>
  <c r="CK30" s="1"/>
  <c r="CQ30" s="1"/>
  <c r="CW30" s="1"/>
  <c r="DC30" s="1"/>
  <c r="DI30" s="1"/>
  <c r="K31"/>
  <c r="BI31" s="1"/>
  <c r="E32"/>
  <c r="DU32" s="1"/>
  <c r="BG32"/>
  <c r="BM32" s="1"/>
  <c r="BS32" s="1"/>
  <c r="BY32" s="1"/>
  <c r="CE32" s="1"/>
  <c r="CK32" s="1"/>
  <c r="CQ32" s="1"/>
  <c r="CW32" s="1"/>
  <c r="DC32" s="1"/>
  <c r="DI32" s="1"/>
  <c r="BG33"/>
  <c r="BM33" s="1"/>
  <c r="BS33" s="1"/>
  <c r="BY33" s="1"/>
  <c r="CE33" s="1"/>
  <c r="CK33" s="1"/>
  <c r="CQ33" s="1"/>
  <c r="CW33" s="1"/>
  <c r="DC33" s="1"/>
  <c r="DI33" s="1"/>
  <c r="L34"/>
  <c r="BJ34" s="1"/>
  <c r="K35"/>
  <c r="O35" s="1"/>
  <c r="E36"/>
  <c r="DU36" s="1"/>
  <c r="BG36"/>
  <c r="BM36" s="1"/>
  <c r="BS36" s="1"/>
  <c r="BY36" s="1"/>
  <c r="CE36" s="1"/>
  <c r="CK36" s="1"/>
  <c r="CQ36" s="1"/>
  <c r="CW36" s="1"/>
  <c r="DC36" s="1"/>
  <c r="DI36" s="1"/>
  <c r="K39"/>
  <c r="BI39" s="1"/>
  <c r="M38"/>
  <c r="U38"/>
  <c r="U37" s="1"/>
  <c r="AC38"/>
  <c r="AK38"/>
  <c r="AS38"/>
  <c r="BE38"/>
  <c r="BQ38"/>
  <c r="CC38"/>
  <c r="CO38"/>
  <c r="DA38"/>
  <c r="DM38"/>
  <c r="DQ38"/>
  <c r="E40"/>
  <c r="DU40" s="1"/>
  <c r="BG40"/>
  <c r="BM40" s="1"/>
  <c r="BS40" s="1"/>
  <c r="BY40" s="1"/>
  <c r="CE40" s="1"/>
  <c r="CK40" s="1"/>
  <c r="CQ40" s="1"/>
  <c r="CW40" s="1"/>
  <c r="DC40" s="1"/>
  <c r="DI40" s="1"/>
  <c r="L41"/>
  <c r="BJ41" s="1"/>
  <c r="L42"/>
  <c r="P42" s="1"/>
  <c r="K43"/>
  <c r="BI43" s="1"/>
  <c r="E44"/>
  <c r="DU44" s="1"/>
  <c r="BG44"/>
  <c r="BM44" s="1"/>
  <c r="BS44" s="1"/>
  <c r="BY44" s="1"/>
  <c r="CE44" s="1"/>
  <c r="CK44" s="1"/>
  <c r="CQ44" s="1"/>
  <c r="CW44" s="1"/>
  <c r="DC44" s="1"/>
  <c r="DI44" s="1"/>
  <c r="K45"/>
  <c r="O45" s="1"/>
  <c r="E46"/>
  <c r="DU46" s="1"/>
  <c r="BG46"/>
  <c r="E48"/>
  <c r="DU48" s="1"/>
  <c r="BG48"/>
  <c r="AY49"/>
  <c r="L50"/>
  <c r="BJ50" s="1"/>
  <c r="H49"/>
  <c r="N49"/>
  <c r="N47" s="1"/>
  <c r="V49"/>
  <c r="V47" s="1"/>
  <c r="AD49"/>
  <c r="AD47" s="1"/>
  <c r="AL49"/>
  <c r="AL47" s="1"/>
  <c r="AT49"/>
  <c r="AT47" s="1"/>
  <c r="BG51"/>
  <c r="F52"/>
  <c r="DV52" s="1"/>
  <c r="BH52"/>
  <c r="BG57"/>
  <c r="F58"/>
  <c r="DV58" s="1"/>
  <c r="BH58"/>
  <c r="BN58" s="1"/>
  <c r="BT58" s="1"/>
  <c r="BZ58" s="1"/>
  <c r="CF58" s="1"/>
  <c r="CL58" s="1"/>
  <c r="CR58" s="1"/>
  <c r="CX58" s="1"/>
  <c r="DD58" s="1"/>
  <c r="DJ58" s="1"/>
  <c r="F62"/>
  <c r="DV62" s="1"/>
  <c r="BH62"/>
  <c r="BG64"/>
  <c r="K66"/>
  <c r="BI66" s="1"/>
  <c r="L67"/>
  <c r="BJ67" s="1"/>
  <c r="L68"/>
  <c r="BJ68" s="1"/>
  <c r="L69"/>
  <c r="BJ69" s="1"/>
  <c r="L70"/>
  <c r="BJ70" s="1"/>
  <c r="L71"/>
  <c r="BJ71" s="1"/>
  <c r="L72"/>
  <c r="BJ72" s="1"/>
  <c r="L73"/>
  <c r="BJ73" s="1"/>
  <c r="L79"/>
  <c r="BJ79" s="1"/>
  <c r="K80"/>
  <c r="K78" s="1"/>
  <c r="D81"/>
  <c r="K92"/>
  <c r="O92" s="1"/>
  <c r="E93"/>
  <c r="DU93" s="1"/>
  <c r="BG93"/>
  <c r="BM93" s="1"/>
  <c r="BS93" s="1"/>
  <c r="BY93" s="1"/>
  <c r="CE93" s="1"/>
  <c r="CK93" s="1"/>
  <c r="CQ93" s="1"/>
  <c r="CW93" s="1"/>
  <c r="DC93" s="1"/>
  <c r="DI93" s="1"/>
  <c r="L98"/>
  <c r="BJ98" s="1"/>
  <c r="F99"/>
  <c r="DV99" s="1"/>
  <c r="BH99"/>
  <c r="BN99" s="1"/>
  <c r="BT99" s="1"/>
  <c r="BZ99" s="1"/>
  <c r="CF99" s="1"/>
  <c r="CL99" s="1"/>
  <c r="CR99" s="1"/>
  <c r="CX99" s="1"/>
  <c r="DD99" s="1"/>
  <c r="DJ99" s="1"/>
  <c r="F105"/>
  <c r="DV105" s="1"/>
  <c r="BH105"/>
  <c r="BN105" s="1"/>
  <c r="BT105" s="1"/>
  <c r="BZ105" s="1"/>
  <c r="CF105" s="1"/>
  <c r="CL105" s="1"/>
  <c r="CR105" s="1"/>
  <c r="CX105" s="1"/>
  <c r="DD105" s="1"/>
  <c r="DJ105" s="1"/>
  <c r="L106"/>
  <c r="BJ106" s="1"/>
  <c r="L109"/>
  <c r="BJ109" s="1"/>
  <c r="F110"/>
  <c r="DV110" s="1"/>
  <c r="BH110"/>
  <c r="BN110" s="1"/>
  <c r="BT110" s="1"/>
  <c r="BZ110" s="1"/>
  <c r="CF110" s="1"/>
  <c r="CL110" s="1"/>
  <c r="CR110" s="1"/>
  <c r="CX110" s="1"/>
  <c r="DD110" s="1"/>
  <c r="DJ110" s="1"/>
  <c r="BL116" i="10"/>
  <c r="BC116"/>
  <c r="BF116"/>
  <c r="AW116"/>
  <c r="AQ116"/>
  <c r="AN116"/>
  <c r="AK116"/>
  <c r="AH116"/>
  <c r="AE116"/>
  <c r="AZ116"/>
  <c r="AB116"/>
  <c r="AT116"/>
  <c r="BL115" i="9"/>
  <c r="BF115"/>
  <c r="AQ115"/>
  <c r="AN115"/>
  <c r="AK115"/>
  <c r="AH115"/>
  <c r="AE115"/>
  <c r="AW115"/>
  <c r="AB115"/>
  <c r="AZ115"/>
  <c r="BC115"/>
  <c r="AT115"/>
  <c r="BL117"/>
  <c r="BF117"/>
  <c r="AQ117"/>
  <c r="AN117"/>
  <c r="AK117"/>
  <c r="AH117"/>
  <c r="AE117"/>
  <c r="AW117"/>
  <c r="AZ117"/>
  <c r="BC117"/>
  <c r="AB117"/>
  <c r="AO117" i="8"/>
  <c r="BA117"/>
  <c r="I38" i="11"/>
  <c r="Q38"/>
  <c r="Y38"/>
  <c r="AG38"/>
  <c r="AO38"/>
  <c r="AW38"/>
  <c r="BK38"/>
  <c r="BW38"/>
  <c r="CI38"/>
  <c r="CU38"/>
  <c r="DG38"/>
  <c r="DO38"/>
  <c r="R49"/>
  <c r="R47" s="1"/>
  <c r="R37" s="1"/>
  <c r="Z49"/>
  <c r="Z47" s="1"/>
  <c r="AH49"/>
  <c r="AH47" s="1"/>
  <c r="AP49"/>
  <c r="AP47" s="1"/>
  <c r="AX49"/>
  <c r="AX47" s="1"/>
  <c r="BH50"/>
  <c r="BD49"/>
  <c r="BH49" s="1"/>
  <c r="BL49"/>
  <c r="BL47" s="1"/>
  <c r="BL37" s="1"/>
  <c r="BR49"/>
  <c r="BR47" s="1"/>
  <c r="BX49"/>
  <c r="BX47" s="1"/>
  <c r="BX37" s="1"/>
  <c r="CD49"/>
  <c r="CD47" s="1"/>
  <c r="CJ49"/>
  <c r="CJ47" s="1"/>
  <c r="CJ37" s="1"/>
  <c r="CP49"/>
  <c r="CP47" s="1"/>
  <c r="CV49"/>
  <c r="CV47" s="1"/>
  <c r="DB49"/>
  <c r="DB47" s="1"/>
  <c r="DH49"/>
  <c r="DH47" s="1"/>
  <c r="DN49"/>
  <c r="DN47" s="1"/>
  <c r="DR49"/>
  <c r="DR47" s="1"/>
  <c r="BD101"/>
  <c r="BL115" i="10"/>
  <c r="AW115"/>
  <c r="AQ115"/>
  <c r="AN115"/>
  <c r="AK115"/>
  <c r="AH115"/>
  <c r="AE115"/>
  <c r="AT115"/>
  <c r="AB115"/>
  <c r="AZ115"/>
  <c r="BC115"/>
  <c r="BF115"/>
  <c r="BL117"/>
  <c r="AW117"/>
  <c r="AQ117"/>
  <c r="AN117"/>
  <c r="AK117"/>
  <c r="AH117"/>
  <c r="AE117"/>
  <c r="AZ117"/>
  <c r="BC117"/>
  <c r="AB117"/>
  <c r="BF117"/>
  <c r="BL116" i="9"/>
  <c r="AZ116"/>
  <c r="BC116"/>
  <c r="BF116"/>
  <c r="AQ116"/>
  <c r="AN116"/>
  <c r="AK116"/>
  <c r="AH116"/>
  <c r="AE116"/>
  <c r="AB116"/>
  <c r="AW116"/>
  <c r="AT116"/>
  <c r="AT117"/>
  <c r="K50" i="11"/>
  <c r="BI50" s="1"/>
  <c r="L51"/>
  <c r="BJ51" s="1"/>
  <c r="BG52"/>
  <c r="E53"/>
  <c r="DU53" s="1"/>
  <c r="BG53"/>
  <c r="BM53" s="1"/>
  <c r="BS53" s="1"/>
  <c r="BY53" s="1"/>
  <c r="CE53" s="1"/>
  <c r="CK53" s="1"/>
  <c r="CQ53" s="1"/>
  <c r="CW53" s="1"/>
  <c r="DC53" s="1"/>
  <c r="DI53" s="1"/>
  <c r="K54"/>
  <c r="BI54" s="1"/>
  <c r="L55"/>
  <c r="P55" s="1"/>
  <c r="K56"/>
  <c r="BI56" s="1"/>
  <c r="F57"/>
  <c r="DV57" s="1"/>
  <c r="BH57"/>
  <c r="K58"/>
  <c r="O58" s="1"/>
  <c r="F59"/>
  <c r="DV59" s="1"/>
  <c r="BH59"/>
  <c r="K60"/>
  <c r="BI60" s="1"/>
  <c r="K61"/>
  <c r="O61" s="1"/>
  <c r="E62"/>
  <c r="DU62" s="1"/>
  <c r="BG62"/>
  <c r="F63"/>
  <c r="DV63" s="1"/>
  <c r="BH63"/>
  <c r="F64"/>
  <c r="BB64" s="1"/>
  <c r="BH64"/>
  <c r="F65"/>
  <c r="BB65" s="1"/>
  <c r="BH65"/>
  <c r="F66"/>
  <c r="BB66" s="1"/>
  <c r="BH66"/>
  <c r="K67"/>
  <c r="BI67" s="1"/>
  <c r="K68"/>
  <c r="BI68" s="1"/>
  <c r="K69"/>
  <c r="BI69" s="1"/>
  <c r="K70"/>
  <c r="BI70" s="1"/>
  <c r="K71"/>
  <c r="BI71" s="1"/>
  <c r="K72"/>
  <c r="BI72" s="1"/>
  <c r="K73"/>
  <c r="BI73" s="1"/>
  <c r="E79"/>
  <c r="DU79" s="1"/>
  <c r="BG79"/>
  <c r="BM79" s="1"/>
  <c r="L80"/>
  <c r="BJ80" s="1"/>
  <c r="E82"/>
  <c r="DU82" s="1"/>
  <c r="BG82"/>
  <c r="BM82" s="1"/>
  <c r="L83"/>
  <c r="BJ83" s="1"/>
  <c r="K104"/>
  <c r="BI104" s="1"/>
  <c r="E105"/>
  <c r="DU105" s="1"/>
  <c r="BG105"/>
  <c r="BM105" s="1"/>
  <c r="BS105" s="1"/>
  <c r="BY105" s="1"/>
  <c r="CE105" s="1"/>
  <c r="CK105" s="1"/>
  <c r="CQ105" s="1"/>
  <c r="CW105" s="1"/>
  <c r="DC105" s="1"/>
  <c r="DI105" s="1"/>
  <c r="K106"/>
  <c r="BI106" s="1"/>
  <c r="E107"/>
  <c r="DU107" s="1"/>
  <c r="BG107"/>
  <c r="BM107" s="1"/>
  <c r="BS107" s="1"/>
  <c r="BY107" s="1"/>
  <c r="CE107" s="1"/>
  <c r="CK107" s="1"/>
  <c r="CQ107" s="1"/>
  <c r="CW107" s="1"/>
  <c r="DC107" s="1"/>
  <c r="DI107" s="1"/>
  <c r="K108"/>
  <c r="BI108" s="1"/>
  <c r="E109"/>
  <c r="DU109" s="1"/>
  <c r="BG109"/>
  <c r="BM109" s="1"/>
  <c r="BS109" s="1"/>
  <c r="BY109" s="1"/>
  <c r="CE109" s="1"/>
  <c r="CK109" s="1"/>
  <c r="CQ109" s="1"/>
  <c r="CW109" s="1"/>
  <c r="DC109" s="1"/>
  <c r="DI109" s="1"/>
  <c r="K110"/>
  <c r="BI110" s="1"/>
  <c r="E111"/>
  <c r="DU111" s="1"/>
  <c r="BG111"/>
  <c r="BM111" s="1"/>
  <c r="BS111" s="1"/>
  <c r="BY111" s="1"/>
  <c r="CE111" s="1"/>
  <c r="CK111" s="1"/>
  <c r="CQ111" s="1"/>
  <c r="CW111" s="1"/>
  <c r="DC111" s="1"/>
  <c r="DI111" s="1"/>
  <c r="K112"/>
  <c r="BI112" s="1"/>
  <c r="F85"/>
  <c r="BB85" s="1"/>
  <c r="BH85"/>
  <c r="BN85" s="1"/>
  <c r="F92"/>
  <c r="DV92" s="1"/>
  <c r="BH92"/>
  <c r="BN92" s="1"/>
  <c r="L93"/>
  <c r="BJ93" s="1"/>
  <c r="F95"/>
  <c r="DV95" s="1"/>
  <c r="BH95"/>
  <c r="BN95" s="1"/>
  <c r="BT95" s="1"/>
  <c r="BZ95" s="1"/>
  <c r="CF95" s="1"/>
  <c r="CL95" s="1"/>
  <c r="CR95" s="1"/>
  <c r="CX95" s="1"/>
  <c r="DD95" s="1"/>
  <c r="DJ95" s="1"/>
  <c r="L96"/>
  <c r="BJ96" s="1"/>
  <c r="K97"/>
  <c r="BI97" s="1"/>
  <c r="E98"/>
  <c r="DU98" s="1"/>
  <c r="BG98"/>
  <c r="BM98" s="1"/>
  <c r="BS98" s="1"/>
  <c r="BY98" s="1"/>
  <c r="CE98" s="1"/>
  <c r="CK98" s="1"/>
  <c r="CQ98" s="1"/>
  <c r="CW98" s="1"/>
  <c r="DC98" s="1"/>
  <c r="DI98" s="1"/>
  <c r="K99"/>
  <c r="O99" s="1"/>
  <c r="E100"/>
  <c r="DU100" s="1"/>
  <c r="BG100"/>
  <c r="BM100" s="1"/>
  <c r="BS100" s="1"/>
  <c r="BY100" s="1"/>
  <c r="CE100" s="1"/>
  <c r="CK100" s="1"/>
  <c r="CQ100" s="1"/>
  <c r="CW100" s="1"/>
  <c r="DC100" s="1"/>
  <c r="DI100" s="1"/>
  <c r="K101"/>
  <c r="BI101" s="1"/>
  <c r="E102"/>
  <c r="BA102" s="1"/>
  <c r="BG102"/>
  <c r="BM102" s="1"/>
  <c r="BS102" s="1"/>
  <c r="BY102" s="1"/>
  <c r="CE102" s="1"/>
  <c r="CK102" s="1"/>
  <c r="CQ102" s="1"/>
  <c r="CW102" s="1"/>
  <c r="DC102" s="1"/>
  <c r="DI102" s="1"/>
  <c r="K103"/>
  <c r="BI103" s="1"/>
  <c r="L115" i="8"/>
  <c r="AO115"/>
  <c r="DQ27" i="11"/>
  <c r="DP47"/>
  <c r="AZ78"/>
  <c r="DT78" s="1"/>
  <c r="AL78"/>
  <c r="BR78"/>
  <c r="DR78"/>
  <c r="Z81"/>
  <c r="DR81"/>
  <c r="AZ27"/>
  <c r="DT27" s="1"/>
  <c r="D27"/>
  <c r="N27"/>
  <c r="V27"/>
  <c r="AD27"/>
  <c r="AL27"/>
  <c r="AT27"/>
  <c r="AX27"/>
  <c r="BF27"/>
  <c r="BR27"/>
  <c r="CD27"/>
  <c r="CP27"/>
  <c r="DB27"/>
  <c r="DN27"/>
  <c r="DP27"/>
  <c r="E33"/>
  <c r="DU33" s="1"/>
  <c r="K11"/>
  <c r="O11" s="1"/>
  <c r="F29"/>
  <c r="DV29" s="1"/>
  <c r="F33"/>
  <c r="DV33" s="1"/>
  <c r="F34"/>
  <c r="DV34" s="1"/>
  <c r="E41"/>
  <c r="DU41" s="1"/>
  <c r="E50"/>
  <c r="BA50" s="1"/>
  <c r="E51"/>
  <c r="DU51" s="1"/>
  <c r="E52"/>
  <c r="DU52" s="1"/>
  <c r="E57"/>
  <c r="DU57" s="1"/>
  <c r="D10"/>
  <c r="D118" s="1"/>
  <c r="C27"/>
  <c r="J78"/>
  <c r="N78"/>
  <c r="R78"/>
  <c r="Z78"/>
  <c r="AD78"/>
  <c r="AH78"/>
  <c r="AP78"/>
  <c r="AT78"/>
  <c r="BF78"/>
  <c r="BL78"/>
  <c r="BX78"/>
  <c r="CD78"/>
  <c r="CJ78"/>
  <c r="DB78"/>
  <c r="BL81"/>
  <c r="DH81"/>
  <c r="D94"/>
  <c r="D91" s="1"/>
  <c r="J94"/>
  <c r="J91" s="1"/>
  <c r="N94"/>
  <c r="N91" s="1"/>
  <c r="R94"/>
  <c r="R91" s="1"/>
  <c r="V94"/>
  <c r="V91" s="1"/>
  <c r="Z94"/>
  <c r="Z91" s="1"/>
  <c r="AD94"/>
  <c r="AD91" s="1"/>
  <c r="AH94"/>
  <c r="AH91" s="1"/>
  <c r="AL94"/>
  <c r="AL91" s="1"/>
  <c r="AP94"/>
  <c r="AP91" s="1"/>
  <c r="AT94"/>
  <c r="AT91" s="1"/>
  <c r="AX94"/>
  <c r="AX91" s="1"/>
  <c r="BF94"/>
  <c r="BF91" s="1"/>
  <c r="BL94"/>
  <c r="BL91" s="1"/>
  <c r="BR94"/>
  <c r="BX94"/>
  <c r="BX91" s="1"/>
  <c r="CD94"/>
  <c r="CD91" s="1"/>
  <c r="CJ94"/>
  <c r="CJ91" s="1"/>
  <c r="CP94"/>
  <c r="CP91" s="1"/>
  <c r="CV94"/>
  <c r="CV91" s="1"/>
  <c r="DB94"/>
  <c r="DB91" s="1"/>
  <c r="DH94"/>
  <c r="DH91" s="1"/>
  <c r="DN94"/>
  <c r="DN91" s="1"/>
  <c r="DP94"/>
  <c r="DP91" s="1"/>
  <c r="I94"/>
  <c r="I91" s="1"/>
  <c r="M94"/>
  <c r="M91" s="1"/>
  <c r="Q94"/>
  <c r="Q91" s="1"/>
  <c r="U94"/>
  <c r="U91" s="1"/>
  <c r="Y94"/>
  <c r="Y91" s="1"/>
  <c r="AG94"/>
  <c r="AG91" s="1"/>
  <c r="AK94"/>
  <c r="AK91" s="1"/>
  <c r="AO94"/>
  <c r="AO91" s="1"/>
  <c r="AS94"/>
  <c r="AS91" s="1"/>
  <c r="AW94"/>
  <c r="AW91" s="1"/>
  <c r="AY94"/>
  <c r="AY91" s="1"/>
  <c r="DS91" s="1"/>
  <c r="BE94"/>
  <c r="BE91" s="1"/>
  <c r="BK94"/>
  <c r="BK91" s="1"/>
  <c r="BQ94"/>
  <c r="BQ91" s="1"/>
  <c r="BW94"/>
  <c r="BW91" s="1"/>
  <c r="CC94"/>
  <c r="CC91" s="1"/>
  <c r="CI94"/>
  <c r="CI91" s="1"/>
  <c r="CO94"/>
  <c r="CO91" s="1"/>
  <c r="CU94"/>
  <c r="CU91" s="1"/>
  <c r="DA94"/>
  <c r="DA91" s="1"/>
  <c r="DG94"/>
  <c r="DG91" s="1"/>
  <c r="DM94"/>
  <c r="DM91" s="1"/>
  <c r="DO94"/>
  <c r="DO91" s="1"/>
  <c r="DQ94"/>
  <c r="DQ91" s="1"/>
  <c r="K119"/>
  <c r="O119"/>
  <c r="S119"/>
  <c r="W119"/>
  <c r="AA119"/>
  <c r="AE119"/>
  <c r="AI119"/>
  <c r="AM119"/>
  <c r="AQ119"/>
  <c r="AU119"/>
  <c r="J81"/>
  <c r="AP81"/>
  <c r="CV78"/>
  <c r="DH78"/>
  <c r="R81"/>
  <c r="AH81"/>
  <c r="BX81"/>
  <c r="CV81"/>
  <c r="DQ81"/>
  <c r="AY78"/>
  <c r="DS78" s="1"/>
  <c r="BC78"/>
  <c r="AZ81"/>
  <c r="DT81" s="1"/>
  <c r="BR91"/>
  <c r="N81"/>
  <c r="V81"/>
  <c r="AD81"/>
  <c r="AL81"/>
  <c r="AT81"/>
  <c r="BF81"/>
  <c r="BR81"/>
  <c r="CD81"/>
  <c r="CP81"/>
  <c r="DB81"/>
  <c r="I116" i="8"/>
  <c r="K116" s="1"/>
  <c r="I115"/>
  <c r="I117"/>
  <c r="C38" i="11"/>
  <c r="C94"/>
  <c r="C91" s="1"/>
  <c r="I78"/>
  <c r="M78"/>
  <c r="Q78"/>
  <c r="U78"/>
  <c r="Y78"/>
  <c r="AC78"/>
  <c r="AG78"/>
  <c r="AK78"/>
  <c r="AO78"/>
  <c r="AS78"/>
  <c r="AW78"/>
  <c r="BE78"/>
  <c r="BK78"/>
  <c r="BQ78"/>
  <c r="BW78"/>
  <c r="CC78"/>
  <c r="CI78"/>
  <c r="CO78"/>
  <c r="CU78"/>
  <c r="DA78"/>
  <c r="DG78"/>
  <c r="DM78"/>
  <c r="DO78"/>
  <c r="DQ78"/>
  <c r="I81"/>
  <c r="M81"/>
  <c r="Q81"/>
  <c r="U81"/>
  <c r="Y81"/>
  <c r="AC81"/>
  <c r="AG81"/>
  <c r="AK81"/>
  <c r="AO81"/>
  <c r="AS81"/>
  <c r="AW81"/>
  <c r="BE81"/>
  <c r="BK81"/>
  <c r="BQ81"/>
  <c r="BW81"/>
  <c r="CC81"/>
  <c r="CI81"/>
  <c r="CO81"/>
  <c r="CU81"/>
  <c r="DA81"/>
  <c r="DG81"/>
  <c r="DM81"/>
  <c r="DO81"/>
  <c r="AX81"/>
  <c r="DN81"/>
  <c r="DP81"/>
  <c r="AZ94"/>
  <c r="G78"/>
  <c r="AX78"/>
  <c r="DN78"/>
  <c r="DP78"/>
  <c r="G81"/>
  <c r="AY81"/>
  <c r="DS81" s="1"/>
  <c r="BC81"/>
  <c r="G94"/>
  <c r="BD94"/>
  <c r="I27"/>
  <c r="M27"/>
  <c r="Q27"/>
  <c r="U27"/>
  <c r="Y27"/>
  <c r="AC27"/>
  <c r="AG27"/>
  <c r="AK27"/>
  <c r="AO27"/>
  <c r="AS27"/>
  <c r="AW27"/>
  <c r="BE27"/>
  <c r="BK27"/>
  <c r="BQ27"/>
  <c r="BW27"/>
  <c r="CC27"/>
  <c r="CI27"/>
  <c r="CO27"/>
  <c r="CU27"/>
  <c r="DA27"/>
  <c r="DG27"/>
  <c r="DM27"/>
  <c r="DO27"/>
  <c r="G38"/>
  <c r="AY38"/>
  <c r="BC38"/>
  <c r="H78"/>
  <c r="BD78"/>
  <c r="H81"/>
  <c r="BD81"/>
  <c r="H94"/>
  <c r="BC94"/>
  <c r="E97"/>
  <c r="DU97" s="1"/>
  <c r="E43"/>
  <c r="DU43" s="1"/>
  <c r="E58"/>
  <c r="DU58" s="1"/>
  <c r="E83"/>
  <c r="BA83" s="1"/>
  <c r="F28"/>
  <c r="DV28" s="1"/>
  <c r="E39"/>
  <c r="BA39" s="1"/>
  <c r="E55"/>
  <c r="BA55" s="1"/>
  <c r="E56"/>
  <c r="DU56" s="1"/>
  <c r="E59"/>
  <c r="DU59" s="1"/>
  <c r="E60"/>
  <c r="DU60" s="1"/>
  <c r="E63"/>
  <c r="DU73" s="1"/>
  <c r="E67"/>
  <c r="BA67" s="1"/>
  <c r="E80"/>
  <c r="BA80" s="1"/>
  <c r="AC94"/>
  <c r="AC91" s="1"/>
  <c r="Q10"/>
  <c r="E20"/>
  <c r="DU20" s="1"/>
  <c r="E24"/>
  <c r="DU24" s="1"/>
  <c r="G27"/>
  <c r="AY27"/>
  <c r="DS27" s="1"/>
  <c r="BC27"/>
  <c r="E19"/>
  <c r="DU19" s="1"/>
  <c r="AW10"/>
  <c r="CI10"/>
  <c r="DO10"/>
  <c r="H27"/>
  <c r="BD27"/>
  <c r="F11"/>
  <c r="DV11" s="1"/>
  <c r="E28"/>
  <c r="E35"/>
  <c r="DU35" s="1"/>
  <c r="AG10"/>
  <c r="BK10"/>
  <c r="DG10"/>
  <c r="E23"/>
  <c r="DU23" s="1"/>
  <c r="E12"/>
  <c r="DU12" s="1"/>
  <c r="E17"/>
  <c r="DU17" s="1"/>
  <c r="E21"/>
  <c r="DU21" s="1"/>
  <c r="F14"/>
  <c r="DV14" s="1"/>
  <c r="F17"/>
  <c r="DV17" s="1"/>
  <c r="C10"/>
  <c r="J10"/>
  <c r="J9" s="1"/>
  <c r="N10"/>
  <c r="R10"/>
  <c r="R9" s="1"/>
  <c r="V10"/>
  <c r="Z10"/>
  <c r="AD10"/>
  <c r="AH10"/>
  <c r="AL10"/>
  <c r="AP10"/>
  <c r="AP9" s="1"/>
  <c r="AT10"/>
  <c r="AX10"/>
  <c r="BF10"/>
  <c r="BL10"/>
  <c r="BL9" s="1"/>
  <c r="BR10"/>
  <c r="BX10"/>
  <c r="BX9" s="1"/>
  <c r="CD10"/>
  <c r="CJ10"/>
  <c r="CP10"/>
  <c r="CV10"/>
  <c r="DB10"/>
  <c r="DH10"/>
  <c r="DN10"/>
  <c r="DP10"/>
  <c r="DR10"/>
  <c r="K21"/>
  <c r="BI21" s="1"/>
  <c r="F12"/>
  <c r="DV12" s="1"/>
  <c r="I10"/>
  <c r="M10"/>
  <c r="U10"/>
  <c r="Y10"/>
  <c r="AC10"/>
  <c r="AK10"/>
  <c r="AO10"/>
  <c r="AS10"/>
  <c r="BE10"/>
  <c r="BQ10"/>
  <c r="BW10"/>
  <c r="CC10"/>
  <c r="CO10"/>
  <c r="CU10"/>
  <c r="DA10"/>
  <c r="DM10"/>
  <c r="DQ10"/>
  <c r="L12"/>
  <c r="BJ12" s="1"/>
  <c r="BC10"/>
  <c r="G10"/>
  <c r="AY10"/>
  <c r="DS10" s="1"/>
  <c r="H10"/>
  <c r="AZ10"/>
  <c r="BD10"/>
  <c r="BG15"/>
  <c r="BM15" s="1"/>
  <c r="BS15" s="1"/>
  <c r="BY15" s="1"/>
  <c r="CE15" s="1"/>
  <c r="CK15" s="1"/>
  <c r="CQ15" s="1"/>
  <c r="CW15" s="1"/>
  <c r="DC15" s="1"/>
  <c r="DI15" s="1"/>
  <c r="BG16"/>
  <c r="BM16" s="1"/>
  <c r="BS16" s="1"/>
  <c r="BY16" s="1"/>
  <c r="CE16" s="1"/>
  <c r="CK16" s="1"/>
  <c r="CQ16" s="1"/>
  <c r="CW16" s="1"/>
  <c r="DC16" s="1"/>
  <c r="DI16" s="1"/>
  <c r="E11"/>
  <c r="DU11" s="1"/>
  <c r="E14"/>
  <c r="DU14" s="1"/>
  <c r="E18"/>
  <c r="DU18" s="1"/>
  <c r="K15"/>
  <c r="O15" s="1"/>
  <c r="K16"/>
  <c r="O16" s="1"/>
  <c r="P102"/>
  <c r="T102" s="1"/>
  <c r="P103"/>
  <c r="BP103" s="1"/>
  <c r="P104"/>
  <c r="T104" s="1"/>
  <c r="P105"/>
  <c r="BP105" s="1"/>
  <c r="P106"/>
  <c r="BP106" s="1"/>
  <c r="P107"/>
  <c r="BP107" s="1"/>
  <c r="E13"/>
  <c r="DU13" s="1"/>
  <c r="O102"/>
  <c r="S102" s="1"/>
  <c r="O103"/>
  <c r="S103" s="1"/>
  <c r="O104"/>
  <c r="BO104" s="1"/>
  <c r="O105"/>
  <c r="S105" s="1"/>
  <c r="O106"/>
  <c r="BO106" s="1"/>
  <c r="O107"/>
  <c r="BO107" s="1"/>
  <c r="O108"/>
  <c r="BO108" s="1"/>
  <c r="O109"/>
  <c r="S109" s="1"/>
  <c r="O110"/>
  <c r="BO110" s="1"/>
  <c r="O111"/>
  <c r="S111" s="1"/>
  <c r="O112"/>
  <c r="BO112" s="1"/>
  <c r="P109"/>
  <c r="BP109" s="1"/>
  <c r="P110"/>
  <c r="BP110" s="1"/>
  <c r="P111"/>
  <c r="BP111" s="1"/>
  <c r="P112"/>
  <c r="BP112" s="1"/>
  <c r="L119"/>
  <c r="P119"/>
  <c r="T119"/>
  <c r="X119"/>
  <c r="AB119"/>
  <c r="AF119"/>
  <c r="AJ119"/>
  <c r="L120"/>
  <c r="P120"/>
  <c r="T120"/>
  <c r="X120"/>
  <c r="AB120"/>
  <c r="AF120"/>
  <c r="AJ120"/>
  <c r="AN120"/>
  <c r="AR120"/>
  <c r="AV120"/>
  <c r="BH120"/>
  <c r="BN120"/>
  <c r="BT120"/>
  <c r="BZ120"/>
  <c r="CF120"/>
  <c r="CL120"/>
  <c r="CR120"/>
  <c r="CX120"/>
  <c r="DD120"/>
  <c r="DJ120"/>
  <c r="L121"/>
  <c r="P121"/>
  <c r="T121"/>
  <c r="X121"/>
  <c r="AB121"/>
  <c r="AF121"/>
  <c r="AJ121"/>
  <c r="AN121"/>
  <c r="AR121"/>
  <c r="AV121"/>
  <c r="BH121"/>
  <c r="BN121"/>
  <c r="BT121"/>
  <c r="BZ121"/>
  <c r="CF121"/>
  <c r="CL121"/>
  <c r="CR121"/>
  <c r="CX121"/>
  <c r="DD121"/>
  <c r="DJ121"/>
  <c r="L122"/>
  <c r="P122"/>
  <c r="T122"/>
  <c r="X122"/>
  <c r="AB122"/>
  <c r="AF122"/>
  <c r="AJ122"/>
  <c r="AN122"/>
  <c r="AR122"/>
  <c r="AV122"/>
  <c r="BH122"/>
  <c r="BN122"/>
  <c r="BT122"/>
  <c r="BZ122"/>
  <c r="CF122"/>
  <c r="CL122"/>
  <c r="CR122"/>
  <c r="CX122"/>
  <c r="DD122"/>
  <c r="DJ122"/>
  <c r="L123"/>
  <c r="P123"/>
  <c r="T123"/>
  <c r="X123"/>
  <c r="AB123"/>
  <c r="AF123"/>
  <c r="AJ123"/>
  <c r="AN123"/>
  <c r="AR123"/>
  <c r="AV123"/>
  <c r="BH123"/>
  <c r="BN123"/>
  <c r="BT123"/>
  <c r="BZ123"/>
  <c r="CF123"/>
  <c r="CL123"/>
  <c r="CR123"/>
  <c r="CX123"/>
  <c r="DD123"/>
  <c r="DJ123"/>
  <c r="L124"/>
  <c r="P124"/>
  <c r="T124"/>
  <c r="X124"/>
  <c r="AB124"/>
  <c r="AF124"/>
  <c r="AJ124"/>
  <c r="AN124"/>
  <c r="AR124"/>
  <c r="AV124"/>
  <c r="BH124"/>
  <c r="BN124"/>
  <c r="BT124"/>
  <c r="BZ124"/>
  <c r="CF124"/>
  <c r="CL124"/>
  <c r="CR124"/>
  <c r="CX124"/>
  <c r="DD124"/>
  <c r="DJ124"/>
  <c r="L125"/>
  <c r="P125"/>
  <c r="T125"/>
  <c r="X125"/>
  <c r="AB125"/>
  <c r="AF125"/>
  <c r="AJ125"/>
  <c r="AN125"/>
  <c r="AR125"/>
  <c r="AV125"/>
  <c r="BH125"/>
  <c r="BN125"/>
  <c r="BT125"/>
  <c r="BZ125"/>
  <c r="CF125"/>
  <c r="CL125"/>
  <c r="CR125"/>
  <c r="CX125"/>
  <c r="DD125"/>
  <c r="DJ125"/>
  <c r="L126"/>
  <c r="P126"/>
  <c r="T126"/>
  <c r="X126"/>
  <c r="AB126"/>
  <c r="AF126"/>
  <c r="AJ126"/>
  <c r="AN126"/>
  <c r="AR126"/>
  <c r="AV126"/>
  <c r="BH126"/>
  <c r="BN126"/>
  <c r="BT126"/>
  <c r="BZ126"/>
  <c r="CF126"/>
  <c r="CL126"/>
  <c r="CR126"/>
  <c r="CX126"/>
  <c r="DD126"/>
  <c r="DJ126"/>
  <c r="L127"/>
  <c r="P127"/>
  <c r="T127"/>
  <c r="X127"/>
  <c r="AB127"/>
  <c r="AF127"/>
  <c r="AJ127"/>
  <c r="AN127"/>
  <c r="AR127"/>
  <c r="AV127"/>
  <c r="BH127"/>
  <c r="BN127"/>
  <c r="BT127"/>
  <c r="BZ127"/>
  <c r="CF127"/>
  <c r="CL127"/>
  <c r="CR127"/>
  <c r="CX127"/>
  <c r="DD127"/>
  <c r="DJ127"/>
  <c r="L128"/>
  <c r="P128"/>
  <c r="T128"/>
  <c r="X128"/>
  <c r="AB128"/>
  <c r="AF128"/>
  <c r="AJ128"/>
  <c r="AN128"/>
  <c r="AR128"/>
  <c r="AV128"/>
  <c r="BH128"/>
  <c r="BN128"/>
  <c r="BT128"/>
  <c r="BZ128"/>
  <c r="CF128"/>
  <c r="CL128"/>
  <c r="CR128"/>
  <c r="CX128"/>
  <c r="DD128"/>
  <c r="DJ128"/>
  <c r="L129"/>
  <c r="P129"/>
  <c r="T129"/>
  <c r="X129"/>
  <c r="AB129"/>
  <c r="AF129"/>
  <c r="AJ129"/>
  <c r="AN129"/>
  <c r="AR129"/>
  <c r="AV129"/>
  <c r="BH129"/>
  <c r="BN129"/>
  <c r="BT129"/>
  <c r="BZ129"/>
  <c r="CF129"/>
  <c r="CL129"/>
  <c r="CR129"/>
  <c r="CX129"/>
  <c r="DD129"/>
  <c r="DJ129"/>
  <c r="L130"/>
  <c r="BJ130" s="1"/>
  <c r="P130"/>
  <c r="BP130" s="1"/>
  <c r="T130"/>
  <c r="BV130" s="1"/>
  <c r="X130"/>
  <c r="CB130" s="1"/>
  <c r="AB130"/>
  <c r="CH130" s="1"/>
  <c r="AF130"/>
  <c r="CN130" s="1"/>
  <c r="AJ130"/>
  <c r="CT130" s="1"/>
  <c r="AN130"/>
  <c r="CZ130" s="1"/>
  <c r="AR130"/>
  <c r="DF130" s="1"/>
  <c r="AV130"/>
  <c r="DL130" s="1"/>
  <c r="BH130"/>
  <c r="BN130"/>
  <c r="BT130"/>
  <c r="BZ130"/>
  <c r="CF130"/>
  <c r="CL130"/>
  <c r="CR130"/>
  <c r="CX130"/>
  <c r="DD130"/>
  <c r="DJ130"/>
  <c r="K120"/>
  <c r="O120"/>
  <c r="S120"/>
  <c r="W120"/>
  <c r="AA120"/>
  <c r="AE120"/>
  <c r="AI120"/>
  <c r="AM120"/>
  <c r="AQ120"/>
  <c r="AU120"/>
  <c r="BG120"/>
  <c r="BM120"/>
  <c r="BS120"/>
  <c r="BY120"/>
  <c r="CE120"/>
  <c r="CK120"/>
  <c r="CQ120"/>
  <c r="CW120"/>
  <c r="DC120"/>
  <c r="DI120"/>
  <c r="K121"/>
  <c r="O121"/>
  <c r="S121"/>
  <c r="W121"/>
  <c r="AA121"/>
  <c r="AE121"/>
  <c r="AI121"/>
  <c r="AM121"/>
  <c r="AQ121"/>
  <c r="AU121"/>
  <c r="BG121"/>
  <c r="BM121"/>
  <c r="BS121"/>
  <c r="BY121"/>
  <c r="CE121"/>
  <c r="CK121"/>
  <c r="CQ121"/>
  <c r="CW121"/>
  <c r="DC121"/>
  <c r="DI121"/>
  <c r="K122"/>
  <c r="O122"/>
  <c r="S122"/>
  <c r="W122"/>
  <c r="AA122"/>
  <c r="AE122"/>
  <c r="AI122"/>
  <c r="AM122"/>
  <c r="AQ122"/>
  <c r="AU122"/>
  <c r="BG122"/>
  <c r="BM122"/>
  <c r="BS122"/>
  <c r="BY122"/>
  <c r="CE122"/>
  <c r="CK122"/>
  <c r="CQ122"/>
  <c r="CW122"/>
  <c r="DC122"/>
  <c r="DI122"/>
  <c r="K123"/>
  <c r="O123"/>
  <c r="S123"/>
  <c r="W123"/>
  <c r="AA123"/>
  <c r="AE123"/>
  <c r="AI123"/>
  <c r="AM123"/>
  <c r="AQ123"/>
  <c r="AU123"/>
  <c r="BG123"/>
  <c r="BM123"/>
  <c r="BS123"/>
  <c r="BY123"/>
  <c r="CE123"/>
  <c r="CK123"/>
  <c r="CQ123"/>
  <c r="CW123"/>
  <c r="DC123"/>
  <c r="DI123"/>
  <c r="K124"/>
  <c r="O124"/>
  <c r="S124"/>
  <c r="W124"/>
  <c r="AA124"/>
  <c r="AE124"/>
  <c r="AI124"/>
  <c r="AM124"/>
  <c r="AQ124"/>
  <c r="AU124"/>
  <c r="BG124"/>
  <c r="BM124"/>
  <c r="BS124"/>
  <c r="BY124"/>
  <c r="CE124"/>
  <c r="CK124"/>
  <c r="CQ124"/>
  <c r="CW124"/>
  <c r="DC124"/>
  <c r="DI124"/>
  <c r="K125"/>
  <c r="O125"/>
  <c r="S125"/>
  <c r="W125"/>
  <c r="AA125"/>
  <c r="AE125"/>
  <c r="AI125"/>
  <c r="AM125"/>
  <c r="AQ125"/>
  <c r="AU125"/>
  <c r="BG125"/>
  <c r="BM125"/>
  <c r="BS125"/>
  <c r="BY125"/>
  <c r="CE125"/>
  <c r="CK125"/>
  <c r="CQ125"/>
  <c r="CW125"/>
  <c r="DC125"/>
  <c r="DI125"/>
  <c r="K126"/>
  <c r="O126"/>
  <c r="S126"/>
  <c r="W126"/>
  <c r="AA126"/>
  <c r="AE126"/>
  <c r="AI126"/>
  <c r="AM126"/>
  <c r="AQ126"/>
  <c r="AU126"/>
  <c r="BG126"/>
  <c r="BM126"/>
  <c r="BS126"/>
  <c r="BY126"/>
  <c r="CE126"/>
  <c r="CK126"/>
  <c r="CQ126"/>
  <c r="CW126"/>
  <c r="DC126"/>
  <c r="DI126"/>
  <c r="K127"/>
  <c r="O127"/>
  <c r="S127"/>
  <c r="W127"/>
  <c r="AA127"/>
  <c r="AE127"/>
  <c r="AI127"/>
  <c r="AM127"/>
  <c r="AQ127"/>
  <c r="AU127"/>
  <c r="BG127"/>
  <c r="BM127"/>
  <c r="BS127"/>
  <c r="BY127"/>
  <c r="CE127"/>
  <c r="CK127"/>
  <c r="CQ127"/>
  <c r="CW127"/>
  <c r="DC127"/>
  <c r="DI127"/>
  <c r="K128"/>
  <c r="O128"/>
  <c r="S128"/>
  <c r="W128"/>
  <c r="AA128"/>
  <c r="AE128"/>
  <c r="AI128"/>
  <c r="AM128"/>
  <c r="AQ128"/>
  <c r="AU128"/>
  <c r="BG128"/>
  <c r="BM128"/>
  <c r="BS128"/>
  <c r="BY128"/>
  <c r="CE128"/>
  <c r="CK128"/>
  <c r="CQ128"/>
  <c r="CW128"/>
  <c r="DC128"/>
  <c r="DI128"/>
  <c r="K129"/>
  <c r="O129"/>
  <c r="S129"/>
  <c r="W129"/>
  <c r="AA129"/>
  <c r="AE129"/>
  <c r="AI129"/>
  <c r="AM129"/>
  <c r="AQ129"/>
  <c r="AU129"/>
  <c r="BG129"/>
  <c r="BM129"/>
  <c r="BS129"/>
  <c r="BY129"/>
  <c r="CE129"/>
  <c r="CK129"/>
  <c r="CQ129"/>
  <c r="CW129"/>
  <c r="DC129"/>
  <c r="DI129"/>
  <c r="K130"/>
  <c r="BI130" s="1"/>
  <c r="O130"/>
  <c r="BO130" s="1"/>
  <c r="S130"/>
  <c r="BU130" s="1"/>
  <c r="W130"/>
  <c r="CA130" s="1"/>
  <c r="AA130"/>
  <c r="CG130" s="1"/>
  <c r="AE130"/>
  <c r="CM130" s="1"/>
  <c r="AI130"/>
  <c r="CS130" s="1"/>
  <c r="AM130"/>
  <c r="CY130" s="1"/>
  <c r="AQ130"/>
  <c r="DE130" s="1"/>
  <c r="AU130"/>
  <c r="DK130" s="1"/>
  <c r="BG130"/>
  <c r="BM130"/>
  <c r="BS130"/>
  <c r="BY130"/>
  <c r="CE130"/>
  <c r="CK130"/>
  <c r="CQ130"/>
  <c r="CW130"/>
  <c r="DC130"/>
  <c r="DI130"/>
  <c r="BX8"/>
  <c r="BZ8" s="1"/>
  <c r="BV8"/>
  <c r="BJ11"/>
  <c r="BN11"/>
  <c r="BJ14"/>
  <c r="P14"/>
  <c r="BJ17"/>
  <c r="BJ21"/>
  <c r="BJ22"/>
  <c r="BW8"/>
  <c r="BY8" s="1"/>
  <c r="BU8"/>
  <c r="BM11"/>
  <c r="BI13"/>
  <c r="O13"/>
  <c r="BI19"/>
  <c r="BI22"/>
  <c r="O22"/>
  <c r="BI26"/>
  <c r="BI28"/>
  <c r="BM28"/>
  <c r="BI29"/>
  <c r="BJ31"/>
  <c r="P31"/>
  <c r="BJ33"/>
  <c r="P39"/>
  <c r="BJ40"/>
  <c r="P40"/>
  <c r="P43"/>
  <c r="P44"/>
  <c r="BJ45"/>
  <c r="BJ53"/>
  <c r="BJ55"/>
  <c r="BP8"/>
  <c r="E15"/>
  <c r="E16"/>
  <c r="BB18"/>
  <c r="BB22"/>
  <c r="BB23"/>
  <c r="DT24"/>
  <c r="BB25"/>
  <c r="DU29"/>
  <c r="BA29"/>
  <c r="BI30"/>
  <c r="O30"/>
  <c r="O31"/>
  <c r="O32"/>
  <c r="BI33"/>
  <c r="O36"/>
  <c r="BM39"/>
  <c r="O40"/>
  <c r="O43"/>
  <c r="BI44"/>
  <c r="O44"/>
  <c r="BI58"/>
  <c r="BO8"/>
  <c r="DS24"/>
  <c r="BA28"/>
  <c r="P85"/>
  <c r="P92"/>
  <c r="BB30"/>
  <c r="BB42"/>
  <c r="BB43"/>
  <c r="BB46"/>
  <c r="BB50"/>
  <c r="BB51"/>
  <c r="BB55"/>
  <c r="BB57"/>
  <c r="BB61"/>
  <c r="DT63"/>
  <c r="DT64"/>
  <c r="DT65"/>
  <c r="DV65"/>
  <c r="DT66"/>
  <c r="DT67"/>
  <c r="DV67"/>
  <c r="DT68"/>
  <c r="DT69"/>
  <c r="DV69"/>
  <c r="DT70"/>
  <c r="DT71"/>
  <c r="DV71"/>
  <c r="DT72"/>
  <c r="DV73"/>
  <c r="BI82"/>
  <c r="O82"/>
  <c r="O83"/>
  <c r="BI93"/>
  <c r="BA31"/>
  <c r="BA42"/>
  <c r="BA58"/>
  <c r="BA61"/>
  <c r="DS63"/>
  <c r="DU63"/>
  <c r="DS64"/>
  <c r="DS65"/>
  <c r="DU65"/>
  <c r="DS66"/>
  <c r="DS67"/>
  <c r="DU67"/>
  <c r="DS68"/>
  <c r="DS69"/>
  <c r="DU69"/>
  <c r="DS70"/>
  <c r="DS71"/>
  <c r="DU71"/>
  <c r="DS72"/>
  <c r="P95"/>
  <c r="P97"/>
  <c r="BJ99"/>
  <c r="BP104"/>
  <c r="BB79"/>
  <c r="L86"/>
  <c r="BB86"/>
  <c r="BH86"/>
  <c r="DT86"/>
  <c r="DV86"/>
  <c r="O96"/>
  <c r="BI98"/>
  <c r="O98"/>
  <c r="BI100"/>
  <c r="BO103"/>
  <c r="S104"/>
  <c r="BO105"/>
  <c r="K86"/>
  <c r="BG86"/>
  <c r="DS86"/>
  <c r="BA92"/>
  <c r="DS112"/>
  <c r="DS111"/>
  <c r="DS110"/>
  <c r="DS109"/>
  <c r="DS108"/>
  <c r="T109"/>
  <c r="DS96"/>
  <c r="DS97"/>
  <c r="DS98"/>
  <c r="DS99"/>
  <c r="BA103"/>
  <c r="DS105"/>
  <c r="DS106"/>
  <c r="DS107"/>
  <c r="DT112"/>
  <c r="DT111"/>
  <c r="DT110"/>
  <c r="DT109"/>
  <c r="DT108"/>
  <c r="BO109"/>
  <c r="DT96"/>
  <c r="BB97"/>
  <c r="DT97"/>
  <c r="BB98"/>
  <c r="DT98"/>
  <c r="DT99"/>
  <c r="BB100"/>
  <c r="DT105"/>
  <c r="BB106"/>
  <c r="DT106"/>
  <c r="DT107"/>
  <c r="P108"/>
  <c r="BG119"/>
  <c r="BM119"/>
  <c r="BS119"/>
  <c r="BY119"/>
  <c r="CE119"/>
  <c r="CK119"/>
  <c r="CQ119"/>
  <c r="CW119"/>
  <c r="DC119"/>
  <c r="AN119"/>
  <c r="AV119"/>
  <c r="BN119"/>
  <c r="BZ119"/>
  <c r="CL119"/>
  <c r="CX119"/>
  <c r="DJ119"/>
  <c r="BA111"/>
  <c r="AR119"/>
  <c r="BH119"/>
  <c r="BT119"/>
  <c r="CF119"/>
  <c r="CR119"/>
  <c r="DD119"/>
  <c r="DI119"/>
  <c r="BO111" l="1"/>
  <c r="BA59"/>
  <c r="BI99"/>
  <c r="BI95"/>
  <c r="BB21"/>
  <c r="BB14"/>
  <c r="BI61"/>
  <c r="T106"/>
  <c r="P96"/>
  <c r="BA51"/>
  <c r="BA14"/>
  <c r="AD37"/>
  <c r="BA46"/>
  <c r="BB34"/>
  <c r="DN37"/>
  <c r="BR37"/>
  <c r="DH9"/>
  <c r="Z37"/>
  <c r="AW37"/>
  <c r="BB95"/>
  <c r="BA98"/>
  <c r="BA33"/>
  <c r="K81"/>
  <c r="BI81" s="1"/>
  <c r="CP9"/>
  <c r="BP102"/>
  <c r="DU72"/>
  <c r="DU70"/>
  <c r="DU68"/>
  <c r="DU66"/>
  <c r="DU64"/>
  <c r="BA63"/>
  <c r="DV72"/>
  <c r="DV70"/>
  <c r="DV68"/>
  <c r="DV66"/>
  <c r="DV64"/>
  <c r="BB35"/>
  <c r="P79"/>
  <c r="T79" s="1"/>
  <c r="BA13"/>
  <c r="O53"/>
  <c r="P58"/>
  <c r="BI15"/>
  <c r="CV37"/>
  <c r="BB112"/>
  <c r="L84"/>
  <c r="BJ84" s="1"/>
  <c r="P13"/>
  <c r="BP13" s="1"/>
  <c r="CV9"/>
  <c r="AH37"/>
  <c r="DG37"/>
  <c r="Y37"/>
  <c r="AT37"/>
  <c r="N37"/>
  <c r="BB52"/>
  <c r="BB33"/>
  <c r="P83"/>
  <c r="O20"/>
  <c r="V37"/>
  <c r="BB103"/>
  <c r="BB44"/>
  <c r="P24"/>
  <c r="AL37"/>
  <c r="BQ37"/>
  <c r="P98"/>
  <c r="BP98" s="1"/>
  <c r="BA22"/>
  <c r="O17"/>
  <c r="AL9"/>
  <c r="BB111"/>
  <c r="BB108"/>
  <c r="BA96"/>
  <c r="BI45"/>
  <c r="O42"/>
  <c r="BB19"/>
  <c r="BJ42"/>
  <c r="P34"/>
  <c r="T34" s="1"/>
  <c r="BI18"/>
  <c r="DS94"/>
  <c r="BA18"/>
  <c r="DQ37"/>
  <c r="BA112"/>
  <c r="BA106"/>
  <c r="S108"/>
  <c r="BB82"/>
  <c r="BA54"/>
  <c r="O85"/>
  <c r="BB60"/>
  <c r="BB54"/>
  <c r="BB41"/>
  <c r="BB31"/>
  <c r="O39"/>
  <c r="O23"/>
  <c r="BO23" s="1"/>
  <c r="BD9"/>
  <c r="G9"/>
  <c r="CC9"/>
  <c r="DN9"/>
  <c r="DN74" s="1"/>
  <c r="BR9"/>
  <c r="BR74" s="1"/>
  <c r="AT9"/>
  <c r="N9"/>
  <c r="N74" s="1"/>
  <c r="BD47"/>
  <c r="BD37" s="1"/>
  <c r="BD74" s="1"/>
  <c r="DH37"/>
  <c r="DO37"/>
  <c r="CO37"/>
  <c r="AS37"/>
  <c r="M37"/>
  <c r="S112"/>
  <c r="T112"/>
  <c r="BA93"/>
  <c r="O97"/>
  <c r="BO97" s="1"/>
  <c r="BB93"/>
  <c r="T107"/>
  <c r="T103"/>
  <c r="BV103" s="1"/>
  <c r="BB56"/>
  <c r="BA25"/>
  <c r="P28"/>
  <c r="BQ9"/>
  <c r="BQ74" s="1"/>
  <c r="M9"/>
  <c r="M74" s="1"/>
  <c r="M75" s="1"/>
  <c r="DR9"/>
  <c r="CD9"/>
  <c r="Q37"/>
  <c r="BH38"/>
  <c r="BA109"/>
  <c r="BB96"/>
  <c r="DU108"/>
  <c r="DU86"/>
  <c r="BA57"/>
  <c r="BA48"/>
  <c r="BA41"/>
  <c r="BG81"/>
  <c r="BI80"/>
  <c r="BB63"/>
  <c r="BJ82"/>
  <c r="BJ36"/>
  <c r="P32"/>
  <c r="T32" s="1"/>
  <c r="BG27"/>
  <c r="P26"/>
  <c r="T26" s="1"/>
  <c r="Y9"/>
  <c r="DP37"/>
  <c r="BB109"/>
  <c r="BB92"/>
  <c r="BJ100"/>
  <c r="BI79"/>
  <c r="BB45"/>
  <c r="L81"/>
  <c r="BJ81" s="1"/>
  <c r="BA20"/>
  <c r="BM47"/>
  <c r="BI34"/>
  <c r="BI25"/>
  <c r="O21"/>
  <c r="BI11"/>
  <c r="F78"/>
  <c r="DV78" s="1"/>
  <c r="BH101"/>
  <c r="BN101" s="1"/>
  <c r="BT101" s="1"/>
  <c r="BZ101" s="1"/>
  <c r="CF101" s="1"/>
  <c r="CL101" s="1"/>
  <c r="CR101" s="1"/>
  <c r="CX101" s="1"/>
  <c r="DD101" s="1"/>
  <c r="DJ101" s="1"/>
  <c r="BW37"/>
  <c r="K47"/>
  <c r="BI47" s="1"/>
  <c r="BB110"/>
  <c r="BB105"/>
  <c r="BA104"/>
  <c r="BA99"/>
  <c r="BB80"/>
  <c r="BA45"/>
  <c r="BA26"/>
  <c r="BA21"/>
  <c r="BB24"/>
  <c r="BB20"/>
  <c r="BJ20"/>
  <c r="BH10"/>
  <c r="BK9"/>
  <c r="AP37"/>
  <c r="AP87" s="1"/>
  <c r="AP77" s="1"/>
  <c r="I37"/>
  <c r="BE37"/>
  <c r="AX37"/>
  <c r="J87"/>
  <c r="J77" s="1"/>
  <c r="BA100"/>
  <c r="T110"/>
  <c r="BV110" s="1"/>
  <c r="S106"/>
  <c r="W106" s="1"/>
  <c r="BI35"/>
  <c r="BB28"/>
  <c r="BJ61"/>
  <c r="S110"/>
  <c r="BU110" s="1"/>
  <c r="BA97"/>
  <c r="T111"/>
  <c r="X111" s="1"/>
  <c r="S107"/>
  <c r="BU107" s="1"/>
  <c r="O101"/>
  <c r="S101" s="1"/>
  <c r="BA53"/>
  <c r="BA40"/>
  <c r="BA32"/>
  <c r="BB59"/>
  <c r="BB39"/>
  <c r="P93"/>
  <c r="BP93" s="1"/>
  <c r="BH81"/>
  <c r="O56"/>
  <c r="S56" s="1"/>
  <c r="O55"/>
  <c r="BB17"/>
  <c r="BB12"/>
  <c r="P30"/>
  <c r="T30" s="1"/>
  <c r="O24"/>
  <c r="O14"/>
  <c r="S14" s="1"/>
  <c r="O12"/>
  <c r="BJ29"/>
  <c r="P19"/>
  <c r="CJ9"/>
  <c r="CJ87" s="1"/>
  <c r="CJ77" s="1"/>
  <c r="F81"/>
  <c r="AZ47"/>
  <c r="DT47" s="1"/>
  <c r="L78"/>
  <c r="DR37"/>
  <c r="DR87" s="1"/>
  <c r="DR77" s="1"/>
  <c r="BK37"/>
  <c r="AK37"/>
  <c r="P18"/>
  <c r="BP18" s="1"/>
  <c r="G37"/>
  <c r="G87" s="1"/>
  <c r="G77" s="1"/>
  <c r="CI37"/>
  <c r="AO37"/>
  <c r="D37"/>
  <c r="CD37"/>
  <c r="AG37"/>
  <c r="BA105"/>
  <c r="BA35"/>
  <c r="BG78"/>
  <c r="BG10"/>
  <c r="BG9" s="1"/>
  <c r="BJ25"/>
  <c r="AX9"/>
  <c r="AH9"/>
  <c r="AH87" s="1"/>
  <c r="AH77" s="1"/>
  <c r="BA110"/>
  <c r="BB107"/>
  <c r="BA82"/>
  <c r="BO102"/>
  <c r="BB83"/>
  <c r="T105"/>
  <c r="X105" s="1"/>
  <c r="BA62"/>
  <c r="BA43"/>
  <c r="BI92"/>
  <c r="BB53"/>
  <c r="BB48"/>
  <c r="BB36"/>
  <c r="BB32"/>
  <c r="BH78"/>
  <c r="BA24"/>
  <c r="BA19"/>
  <c r="BA12"/>
  <c r="BJ56"/>
  <c r="P35"/>
  <c r="T35" s="1"/>
  <c r="BB29"/>
  <c r="P23"/>
  <c r="T23" s="1"/>
  <c r="BI16"/>
  <c r="L10"/>
  <c r="BJ10" s="1"/>
  <c r="F10"/>
  <c r="CU9"/>
  <c r="AK9"/>
  <c r="DB9"/>
  <c r="BF9"/>
  <c r="V9"/>
  <c r="V87" s="1"/>
  <c r="V77" s="1"/>
  <c r="C9"/>
  <c r="CP37"/>
  <c r="CP87" s="1"/>
  <c r="CP77" s="1"/>
  <c r="CU37"/>
  <c r="L49"/>
  <c r="BJ49" s="1"/>
  <c r="DM37"/>
  <c r="BG101"/>
  <c r="BM101" s="1"/>
  <c r="BS101" s="1"/>
  <c r="BY101" s="1"/>
  <c r="CE101" s="1"/>
  <c r="CK101" s="1"/>
  <c r="CQ101" s="1"/>
  <c r="CW101" s="1"/>
  <c r="DC101" s="1"/>
  <c r="DI101" s="1"/>
  <c r="BH47"/>
  <c r="BL87"/>
  <c r="BL77" s="1"/>
  <c r="DO9"/>
  <c r="DO74" s="1"/>
  <c r="K10"/>
  <c r="BI10" s="1"/>
  <c r="DQ9"/>
  <c r="F94"/>
  <c r="DV94" s="1"/>
  <c r="DB37"/>
  <c r="BF37"/>
  <c r="K49"/>
  <c r="BI49" s="1"/>
  <c r="AZ9"/>
  <c r="DT9" s="1"/>
  <c r="DM9"/>
  <c r="AS9"/>
  <c r="AT74"/>
  <c r="AD9"/>
  <c r="AD74" s="1"/>
  <c r="CV87"/>
  <c r="CV77" s="1"/>
  <c r="BX87"/>
  <c r="BX77" s="1"/>
  <c r="DA37"/>
  <c r="L101"/>
  <c r="BJ101" s="1"/>
  <c r="R87"/>
  <c r="R77" s="1"/>
  <c r="CC37"/>
  <c r="AW9"/>
  <c r="AO116" i="8"/>
  <c r="L116"/>
  <c r="M116" s="1"/>
  <c r="O116" s="1"/>
  <c r="P116" s="1"/>
  <c r="BV116" s="1"/>
  <c r="DU102" i="11"/>
  <c r="E101"/>
  <c r="BB99"/>
  <c r="C118"/>
  <c r="BA95"/>
  <c r="BA79"/>
  <c r="BH84"/>
  <c r="BA44"/>
  <c r="BA34"/>
  <c r="BA30"/>
  <c r="O80"/>
  <c r="O78" s="1"/>
  <c r="BA17"/>
  <c r="K38"/>
  <c r="BB26"/>
  <c r="BB11"/>
  <c r="L38"/>
  <c r="BJ38" s="1"/>
  <c r="K27"/>
  <c r="BI27" s="1"/>
  <c r="L27"/>
  <c r="BJ27" s="1"/>
  <c r="BL74"/>
  <c r="AP74"/>
  <c r="Z9"/>
  <c r="J74"/>
  <c r="D9"/>
  <c r="C37"/>
  <c r="AC37"/>
  <c r="DV102"/>
  <c r="F101"/>
  <c r="DU85"/>
  <c r="E84"/>
  <c r="BG49"/>
  <c r="BG47" s="1"/>
  <c r="BC47"/>
  <c r="BC37" s="1"/>
  <c r="V74"/>
  <c r="DS49"/>
  <c r="AY47"/>
  <c r="DS47" s="1"/>
  <c r="DV40"/>
  <c r="F38"/>
  <c r="BB104"/>
  <c r="BA107"/>
  <c r="BA60"/>
  <c r="BA56"/>
  <c r="BA52"/>
  <c r="BA36"/>
  <c r="AT87"/>
  <c r="AT77" s="1"/>
  <c r="N87"/>
  <c r="N77" s="1"/>
  <c r="BB62"/>
  <c r="BB58"/>
  <c r="P80"/>
  <c r="BP80" s="1"/>
  <c r="BA23"/>
  <c r="BG38"/>
  <c r="BB13"/>
  <c r="DT10"/>
  <c r="BN47"/>
  <c r="BH27"/>
  <c r="P12"/>
  <c r="T12" s="1"/>
  <c r="DP9"/>
  <c r="CV74"/>
  <c r="BX74"/>
  <c r="AH74"/>
  <c r="R74"/>
  <c r="L94"/>
  <c r="H47"/>
  <c r="L47" s="1"/>
  <c r="BJ47" s="1"/>
  <c r="DV85"/>
  <c r="F84"/>
  <c r="F49"/>
  <c r="BC9"/>
  <c r="BW9"/>
  <c r="AO9"/>
  <c r="I9"/>
  <c r="DG9"/>
  <c r="AG9"/>
  <c r="CI9"/>
  <c r="Q9"/>
  <c r="DU50"/>
  <c r="E49"/>
  <c r="M115" i="8"/>
  <c r="O115" s="1"/>
  <c r="P115" s="1"/>
  <c r="BV115" s="1"/>
  <c r="DT94" i="11"/>
  <c r="AZ91"/>
  <c r="DT91" s="1"/>
  <c r="K94"/>
  <c r="G91"/>
  <c r="BH94"/>
  <c r="BD91"/>
  <c r="E94"/>
  <c r="BA94" s="1"/>
  <c r="BG94"/>
  <c r="BC91"/>
  <c r="DS38"/>
  <c r="BA11"/>
  <c r="H9"/>
  <c r="AY9"/>
  <c r="DA9"/>
  <c r="CO9"/>
  <c r="BE9"/>
  <c r="AC9"/>
  <c r="U9"/>
  <c r="F27"/>
  <c r="F9" s="1"/>
  <c r="H91"/>
  <c r="DU39"/>
  <c r="E38"/>
  <c r="DU83"/>
  <c r="E81"/>
  <c r="DU80"/>
  <c r="E78"/>
  <c r="DU55"/>
  <c r="DU28"/>
  <c r="E27"/>
  <c r="BP108"/>
  <c r="T108"/>
  <c r="BU112"/>
  <c r="W112"/>
  <c r="BU111"/>
  <c r="W111"/>
  <c r="BU109"/>
  <c r="W109"/>
  <c r="BV112"/>
  <c r="X112"/>
  <c r="BV111"/>
  <c r="BV109"/>
  <c r="X109"/>
  <c r="BM86"/>
  <c r="BM84" s="1"/>
  <c r="BI86"/>
  <c r="O86"/>
  <c r="O84" s="1"/>
  <c r="BO84" s="1"/>
  <c r="BU102"/>
  <c r="W102"/>
  <c r="BO100"/>
  <c r="S100"/>
  <c r="BO99"/>
  <c r="S99"/>
  <c r="BO98"/>
  <c r="S98"/>
  <c r="BO96"/>
  <c r="S96"/>
  <c r="BO95"/>
  <c r="S95"/>
  <c r="BV107"/>
  <c r="X107"/>
  <c r="BV106"/>
  <c r="X106"/>
  <c r="BV104"/>
  <c r="X104"/>
  <c r="BO93"/>
  <c r="S93"/>
  <c r="BS85"/>
  <c r="BO85"/>
  <c r="S85"/>
  <c r="BO83"/>
  <c r="S83"/>
  <c r="BS79"/>
  <c r="BM78"/>
  <c r="BO79"/>
  <c r="S79"/>
  <c r="BT92"/>
  <c r="BP92"/>
  <c r="T92"/>
  <c r="BT82"/>
  <c r="BN81"/>
  <c r="BP82"/>
  <c r="T82"/>
  <c r="P81"/>
  <c r="BP81" s="1"/>
  <c r="BJ78"/>
  <c r="BY55"/>
  <c r="BS47"/>
  <c r="BS39"/>
  <c r="BM38"/>
  <c r="BO39"/>
  <c r="S39"/>
  <c r="BO36"/>
  <c r="S36"/>
  <c r="BO35"/>
  <c r="S35"/>
  <c r="BO34"/>
  <c r="S34"/>
  <c r="BO33"/>
  <c r="S33"/>
  <c r="BO32"/>
  <c r="S32"/>
  <c r="BO31"/>
  <c r="S31"/>
  <c r="BO30"/>
  <c r="S30"/>
  <c r="E10"/>
  <c r="DU15"/>
  <c r="BA15"/>
  <c r="BP61"/>
  <c r="T61"/>
  <c r="BP58"/>
  <c r="T58"/>
  <c r="BP56"/>
  <c r="T56"/>
  <c r="BP55"/>
  <c r="T55"/>
  <c r="P47"/>
  <c r="BP47" s="1"/>
  <c r="BP53"/>
  <c r="T53"/>
  <c r="BP45"/>
  <c r="T45"/>
  <c r="BP44"/>
  <c r="T44"/>
  <c r="BP43"/>
  <c r="T43"/>
  <c r="BP42"/>
  <c r="T42"/>
  <c r="BP40"/>
  <c r="T40"/>
  <c r="BS28"/>
  <c r="BM27"/>
  <c r="BO28"/>
  <c r="S28"/>
  <c r="O27"/>
  <c r="BO27" s="1"/>
  <c r="BO26"/>
  <c r="S26"/>
  <c r="BO25"/>
  <c r="S25"/>
  <c r="BO24"/>
  <c r="S24"/>
  <c r="BO22"/>
  <c r="S22"/>
  <c r="BO21"/>
  <c r="S21"/>
  <c r="BO20"/>
  <c r="S20"/>
  <c r="BO19"/>
  <c r="S19"/>
  <c r="BO18"/>
  <c r="S18"/>
  <c r="BO17"/>
  <c r="S17"/>
  <c r="BO13"/>
  <c r="S13"/>
  <c r="BO12"/>
  <c r="S12"/>
  <c r="CC8"/>
  <c r="CE8" s="1"/>
  <c r="CA8"/>
  <c r="BT28"/>
  <c r="BN27"/>
  <c r="BP28"/>
  <c r="T28"/>
  <c r="P27"/>
  <c r="BP27" s="1"/>
  <c r="BP25"/>
  <c r="T25"/>
  <c r="BP24"/>
  <c r="T24"/>
  <c r="BP22"/>
  <c r="T22"/>
  <c r="BP21"/>
  <c r="T21"/>
  <c r="BP20"/>
  <c r="T20"/>
  <c r="BP19"/>
  <c r="T19"/>
  <c r="BP17"/>
  <c r="T17"/>
  <c r="BP14"/>
  <c r="T14"/>
  <c r="T13"/>
  <c r="CD8"/>
  <c r="CF8" s="1"/>
  <c r="CB8"/>
  <c r="P101"/>
  <c r="BU108"/>
  <c r="W108"/>
  <c r="BU105"/>
  <c r="W105"/>
  <c r="BU104"/>
  <c r="W104"/>
  <c r="BU103"/>
  <c r="W103"/>
  <c r="BN86"/>
  <c r="BN84" s="1"/>
  <c r="BJ86"/>
  <c r="P86"/>
  <c r="P84" s="1"/>
  <c r="BP84" s="1"/>
  <c r="BV102"/>
  <c r="X102"/>
  <c r="BP100"/>
  <c r="T100"/>
  <c r="BP99"/>
  <c r="T99"/>
  <c r="T98"/>
  <c r="BP97"/>
  <c r="T97"/>
  <c r="BP96"/>
  <c r="T96"/>
  <c r="BP95"/>
  <c r="T95"/>
  <c r="BS92"/>
  <c r="BO92"/>
  <c r="S92"/>
  <c r="BS82"/>
  <c r="BM81"/>
  <c r="BO82"/>
  <c r="S82"/>
  <c r="O81"/>
  <c r="BO81" s="1"/>
  <c r="BI78"/>
  <c r="T93"/>
  <c r="BT85"/>
  <c r="BP85"/>
  <c r="T85"/>
  <c r="BP83"/>
  <c r="T83"/>
  <c r="BT79"/>
  <c r="BN78"/>
  <c r="BO61"/>
  <c r="S61"/>
  <c r="BO58"/>
  <c r="S58"/>
  <c r="BO55"/>
  <c r="S55"/>
  <c r="BO53"/>
  <c r="S53"/>
  <c r="BO45"/>
  <c r="S45"/>
  <c r="BO44"/>
  <c r="S44"/>
  <c r="BO43"/>
  <c r="S43"/>
  <c r="BO40"/>
  <c r="S40"/>
  <c r="DU16"/>
  <c r="BA16"/>
  <c r="BZ55"/>
  <c r="BT47"/>
  <c r="BT39"/>
  <c r="BN38"/>
  <c r="BP39"/>
  <c r="T39"/>
  <c r="P38"/>
  <c r="BP36"/>
  <c r="T36"/>
  <c r="BP33"/>
  <c r="T33"/>
  <c r="BP31"/>
  <c r="T31"/>
  <c r="BO29"/>
  <c r="S29"/>
  <c r="BS11"/>
  <c r="BM10"/>
  <c r="BO11"/>
  <c r="S11"/>
  <c r="BP29"/>
  <c r="T29"/>
  <c r="BO16"/>
  <c r="S16"/>
  <c r="BO15"/>
  <c r="S15"/>
  <c r="BT11"/>
  <c r="BN10"/>
  <c r="BP11"/>
  <c r="T11"/>
  <c r="BG84"/>
  <c r="K84"/>
  <c r="BI84" s="1"/>
  <c r="BL114" i="8"/>
  <c r="BL114" i="9"/>
  <c r="BL114" i="10"/>
  <c r="Y131" i="8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31" i="9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28" i="10"/>
  <c r="Y127"/>
  <c r="Y126"/>
  <c r="Y125"/>
  <c r="Y124"/>
  <c r="Y123"/>
  <c r="Y122"/>
  <c r="Y121"/>
  <c r="Y120"/>
  <c r="Y118"/>
  <c r="W128"/>
  <c r="W127"/>
  <c r="W126"/>
  <c r="W125"/>
  <c r="W124"/>
  <c r="W123"/>
  <c r="W122"/>
  <c r="W121"/>
  <c r="W120"/>
  <c r="W118"/>
  <c r="U128"/>
  <c r="U127"/>
  <c r="U126"/>
  <c r="U125"/>
  <c r="U124"/>
  <c r="U123"/>
  <c r="U122"/>
  <c r="U121"/>
  <c r="U120"/>
  <c r="U118"/>
  <c r="S131" i="8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31" i="9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28" i="10"/>
  <c r="S127"/>
  <c r="S126"/>
  <c r="S125"/>
  <c r="S124"/>
  <c r="S123"/>
  <c r="S122"/>
  <c r="S121"/>
  <c r="S120"/>
  <c r="S118"/>
  <c r="Q128"/>
  <c r="Q127"/>
  <c r="Q126"/>
  <c r="Q125"/>
  <c r="Q124"/>
  <c r="Q123"/>
  <c r="Q122"/>
  <c r="Q121"/>
  <c r="Q120"/>
  <c r="Q118"/>
  <c r="O131" i="8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31" i="9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28" i="10"/>
  <c r="O127"/>
  <c r="O126"/>
  <c r="O125"/>
  <c r="O124"/>
  <c r="O123"/>
  <c r="O122"/>
  <c r="O121"/>
  <c r="O120"/>
  <c r="O118"/>
  <c r="M128"/>
  <c r="M127"/>
  <c r="M126"/>
  <c r="M125"/>
  <c r="M124"/>
  <c r="M123"/>
  <c r="M122"/>
  <c r="M121"/>
  <c r="M120"/>
  <c r="M118"/>
  <c r="K128"/>
  <c r="K127"/>
  <c r="K126"/>
  <c r="K125"/>
  <c r="K124"/>
  <c r="K123"/>
  <c r="K122"/>
  <c r="K121"/>
  <c r="K120"/>
  <c r="K118"/>
  <c r="I131" i="8"/>
  <c r="I130"/>
  <c r="I129"/>
  <c r="I128"/>
  <c r="I127"/>
  <c r="I126"/>
  <c r="I125"/>
  <c r="I124"/>
  <c r="I123"/>
  <c r="I122"/>
  <c r="I121"/>
  <c r="I120"/>
  <c r="I131" i="9"/>
  <c r="I130"/>
  <c r="I129"/>
  <c r="I128"/>
  <c r="I127"/>
  <c r="I126"/>
  <c r="I125"/>
  <c r="I124"/>
  <c r="I123"/>
  <c r="I122"/>
  <c r="I121"/>
  <c r="I120"/>
  <c r="I128" i="10"/>
  <c r="I127"/>
  <c r="I126"/>
  <c r="I125"/>
  <c r="I124"/>
  <c r="I123"/>
  <c r="I122"/>
  <c r="I121"/>
  <c r="I120"/>
  <c r="I118"/>
  <c r="G131" i="8"/>
  <c r="G130"/>
  <c r="G129"/>
  <c r="G128"/>
  <c r="G127"/>
  <c r="G126"/>
  <c r="G125"/>
  <c r="G124"/>
  <c r="G123"/>
  <c r="G122"/>
  <c r="G121"/>
  <c r="G120"/>
  <c r="G131" i="9"/>
  <c r="G130"/>
  <c r="G129"/>
  <c r="G128"/>
  <c r="G127"/>
  <c r="G126"/>
  <c r="G125"/>
  <c r="G124"/>
  <c r="G123"/>
  <c r="G122"/>
  <c r="G121"/>
  <c r="G120"/>
  <c r="G128" i="10"/>
  <c r="G127"/>
  <c r="G126"/>
  <c r="G125"/>
  <c r="G124"/>
  <c r="G123"/>
  <c r="G122"/>
  <c r="G121"/>
  <c r="G120"/>
  <c r="G118"/>
  <c r="AB113" i="8"/>
  <c r="AB113" i="9"/>
  <c r="AB113" i="10"/>
  <c r="BL113" i="8"/>
  <c r="BL113" i="9"/>
  <c r="BL113" i="10"/>
  <c r="BK113" i="8"/>
  <c r="BK113" i="9"/>
  <c r="BK113" i="10"/>
  <c r="BI113" i="8"/>
  <c r="BI113" i="10"/>
  <c r="BG113" i="8"/>
  <c r="BG113" i="9"/>
  <c r="BG113" i="10"/>
  <c r="BD113" i="8"/>
  <c r="BD113" i="9"/>
  <c r="BD113" i="10"/>
  <c r="BA113" i="8"/>
  <c r="BA113" i="9"/>
  <c r="BA113" i="10"/>
  <c r="AX113" i="8"/>
  <c r="AX113" i="9"/>
  <c r="AX113" i="10"/>
  <c r="AU113" i="8"/>
  <c r="AU113" i="9"/>
  <c r="AU113" i="10"/>
  <c r="AR113" i="8"/>
  <c r="AR113" i="9"/>
  <c r="AR113" i="10"/>
  <c r="AO113" i="8"/>
  <c r="AO113" i="9"/>
  <c r="AO113" i="10"/>
  <c r="AL113" i="8"/>
  <c r="AL113" i="9"/>
  <c r="AL113" i="10"/>
  <c r="AI113" i="8"/>
  <c r="AI113" i="9"/>
  <c r="AI113" i="10"/>
  <c r="AF113" i="8"/>
  <c r="AF113" i="9"/>
  <c r="AF113" i="10"/>
  <c r="CD74" i="11" l="1"/>
  <c r="DH87"/>
  <c r="DH77" s="1"/>
  <c r="CC87"/>
  <c r="CC77" s="1"/>
  <c r="DH74"/>
  <c r="DP74"/>
  <c r="CD87"/>
  <c r="CD77" s="1"/>
  <c r="AL87"/>
  <c r="AL77" s="1"/>
  <c r="BB94"/>
  <c r="BP79"/>
  <c r="AL74"/>
  <c r="AL75" s="1"/>
  <c r="Y74"/>
  <c r="Y75" s="1"/>
  <c r="BP34"/>
  <c r="X103"/>
  <c r="CB103" s="1"/>
  <c r="S23"/>
  <c r="W23" s="1"/>
  <c r="DB87"/>
  <c r="DB77" s="1"/>
  <c r="BH37"/>
  <c r="M87"/>
  <c r="M77" s="1"/>
  <c r="O38"/>
  <c r="S42"/>
  <c r="P78"/>
  <c r="BP78" s="1"/>
  <c r="S97"/>
  <c r="BU97" s="1"/>
  <c r="BB78"/>
  <c r="BD87"/>
  <c r="BD77" s="1"/>
  <c r="DQ74"/>
  <c r="Y87"/>
  <c r="Y77" s="1"/>
  <c r="BR87"/>
  <c r="BR77" s="1"/>
  <c r="BO42"/>
  <c r="T80"/>
  <c r="X80" s="1"/>
  <c r="DB74"/>
  <c r="CP74"/>
  <c r="BP35"/>
  <c r="BP26"/>
  <c r="BM37"/>
  <c r="BH9"/>
  <c r="BH74" s="1"/>
  <c r="BQ87"/>
  <c r="BQ77" s="1"/>
  <c r="M76"/>
  <c r="DQ87"/>
  <c r="DQ77" s="1"/>
  <c r="DN87"/>
  <c r="DN77" s="1"/>
  <c r="DR74"/>
  <c r="C87"/>
  <c r="C77" s="1"/>
  <c r="K37"/>
  <c r="BI37" s="1"/>
  <c r="BF74"/>
  <c r="AX74"/>
  <c r="AX76" s="1"/>
  <c r="BK74"/>
  <c r="BI38"/>
  <c r="BP12"/>
  <c r="W110"/>
  <c r="CA110" s="1"/>
  <c r="N75"/>
  <c r="N76"/>
  <c r="BP30"/>
  <c r="BP32"/>
  <c r="BO101"/>
  <c r="BU106"/>
  <c r="CU87"/>
  <c r="CU77" s="1"/>
  <c r="AK74"/>
  <c r="AK75" s="1"/>
  <c r="O47"/>
  <c r="BO47" s="1"/>
  <c r="BO56"/>
  <c r="BP23"/>
  <c r="E91"/>
  <c r="BA91" s="1"/>
  <c r="BF87"/>
  <c r="BF77" s="1"/>
  <c r="AX87"/>
  <c r="AX77" s="1"/>
  <c r="AZ37"/>
  <c r="AZ87" s="1"/>
  <c r="DO87"/>
  <c r="DO77" s="1"/>
  <c r="BK87"/>
  <c r="BK77" s="1"/>
  <c r="F118"/>
  <c r="DV118" s="1"/>
  <c r="DV10"/>
  <c r="BB10"/>
  <c r="O10"/>
  <c r="BO10" s="1"/>
  <c r="BO80"/>
  <c r="W107"/>
  <c r="CA107" s="1"/>
  <c r="T18"/>
  <c r="X18" s="1"/>
  <c r="BO14"/>
  <c r="BV105"/>
  <c r="X110"/>
  <c r="CB110" s="1"/>
  <c r="CJ74"/>
  <c r="S80"/>
  <c r="S78" s="1"/>
  <c r="L9"/>
  <c r="BJ9" s="1"/>
  <c r="D74"/>
  <c r="AK87"/>
  <c r="AK77" s="1"/>
  <c r="CU74"/>
  <c r="G74"/>
  <c r="DV81"/>
  <c r="BB81"/>
  <c r="P10"/>
  <c r="BP10" s="1"/>
  <c r="BC74"/>
  <c r="C74"/>
  <c r="AT75"/>
  <c r="AT76"/>
  <c r="AS74"/>
  <c r="AS87"/>
  <c r="AS77" s="1"/>
  <c r="F91"/>
  <c r="DV91" s="1"/>
  <c r="CC74"/>
  <c r="AD75"/>
  <c r="AD76"/>
  <c r="AD87"/>
  <c r="AD77" s="1"/>
  <c r="DM74"/>
  <c r="DM87"/>
  <c r="DM77" s="1"/>
  <c r="BH87"/>
  <c r="BH77" s="1"/>
  <c r="DV84"/>
  <c r="BB84"/>
  <c r="AX75"/>
  <c r="DV101"/>
  <c r="BB101"/>
  <c r="DU101"/>
  <c r="BA101"/>
  <c r="AW74"/>
  <c r="AW87"/>
  <c r="AW77" s="1"/>
  <c r="BN37"/>
  <c r="K9"/>
  <c r="AY37"/>
  <c r="AY74" s="1"/>
  <c r="BC87"/>
  <c r="BC77" s="1"/>
  <c r="L91"/>
  <c r="BJ91" s="1"/>
  <c r="BJ94"/>
  <c r="P94"/>
  <c r="J75"/>
  <c r="J76"/>
  <c r="DV49"/>
  <c r="F47"/>
  <c r="F37" s="1"/>
  <c r="DV37" s="1"/>
  <c r="BB49"/>
  <c r="R75"/>
  <c r="R76"/>
  <c r="DV38"/>
  <c r="BB38"/>
  <c r="DU84"/>
  <c r="BA84"/>
  <c r="Z74"/>
  <c r="Z87"/>
  <c r="Z77" s="1"/>
  <c r="D87"/>
  <c r="D77" s="1"/>
  <c r="L37"/>
  <c r="H37"/>
  <c r="H87" s="1"/>
  <c r="H77" s="1"/>
  <c r="AH75"/>
  <c r="AH76"/>
  <c r="BG37"/>
  <c r="BG87" s="1"/>
  <c r="BG77" s="1"/>
  <c r="V75"/>
  <c r="V76"/>
  <c r="AP75"/>
  <c r="AP76"/>
  <c r="DP87"/>
  <c r="DP77" s="1"/>
  <c r="DU49"/>
  <c r="BA49"/>
  <c r="Q74"/>
  <c r="Q87"/>
  <c r="Q77" s="1"/>
  <c r="AG74"/>
  <c r="AG87"/>
  <c r="AG77" s="1"/>
  <c r="I74"/>
  <c r="I87"/>
  <c r="I77" s="1"/>
  <c r="BW74"/>
  <c r="BW87"/>
  <c r="BW77" s="1"/>
  <c r="CI74"/>
  <c r="CI87"/>
  <c r="CI77" s="1"/>
  <c r="DG74"/>
  <c r="DG87"/>
  <c r="DG77" s="1"/>
  <c r="AO74"/>
  <c r="AO87"/>
  <c r="AO77" s="1"/>
  <c r="E47"/>
  <c r="BA47" s="1"/>
  <c r="DU94"/>
  <c r="BN94"/>
  <c r="BH91"/>
  <c r="K91"/>
  <c r="BI91" s="1"/>
  <c r="BI94"/>
  <c r="O94"/>
  <c r="U74"/>
  <c r="U87"/>
  <c r="U77" s="1"/>
  <c r="BE74"/>
  <c r="BE87"/>
  <c r="BE77" s="1"/>
  <c r="DA74"/>
  <c r="DA87"/>
  <c r="DA77" s="1"/>
  <c r="DS9"/>
  <c r="BB9"/>
  <c r="DV9"/>
  <c r="DV27"/>
  <c r="BB27"/>
  <c r="AC74"/>
  <c r="AC87"/>
  <c r="AC77" s="1"/>
  <c r="CO74"/>
  <c r="CO87"/>
  <c r="CO77" s="1"/>
  <c r="BM94"/>
  <c r="BG91"/>
  <c r="DU91"/>
  <c r="DU78"/>
  <c r="BA78"/>
  <c r="DU81"/>
  <c r="BA81"/>
  <c r="DU38"/>
  <c r="BA38"/>
  <c r="DU27"/>
  <c r="BA27"/>
  <c r="BV11"/>
  <c r="X11"/>
  <c r="T10"/>
  <c r="BN9"/>
  <c r="BN74" s="1"/>
  <c r="W15"/>
  <c r="BU15"/>
  <c r="W16"/>
  <c r="BU16"/>
  <c r="BV29"/>
  <c r="X29"/>
  <c r="BY11"/>
  <c r="BS10"/>
  <c r="BV39"/>
  <c r="X39"/>
  <c r="T38"/>
  <c r="BU40"/>
  <c r="W40"/>
  <c r="BU42"/>
  <c r="W42"/>
  <c r="BU43"/>
  <c r="W43"/>
  <c r="BU44"/>
  <c r="W44"/>
  <c r="BU45"/>
  <c r="W45"/>
  <c r="BU53"/>
  <c r="W53"/>
  <c r="BV79"/>
  <c r="X79"/>
  <c r="BV83"/>
  <c r="X83"/>
  <c r="BZ85"/>
  <c r="BY82"/>
  <c r="BS81"/>
  <c r="BU92"/>
  <c r="W92"/>
  <c r="BT86"/>
  <c r="BT84" s="1"/>
  <c r="BU101"/>
  <c r="W101"/>
  <c r="CA103"/>
  <c r="AA103"/>
  <c r="CA104"/>
  <c r="AA104"/>
  <c r="CA105"/>
  <c r="AA105"/>
  <c r="CA106"/>
  <c r="AA106"/>
  <c r="CA108"/>
  <c r="AA108"/>
  <c r="BV28"/>
  <c r="X28"/>
  <c r="T27"/>
  <c r="BV27" s="1"/>
  <c r="BU28"/>
  <c r="W28"/>
  <c r="S27"/>
  <c r="BU27" s="1"/>
  <c r="BV40"/>
  <c r="X40"/>
  <c r="BV42"/>
  <c r="X42"/>
  <c r="BV43"/>
  <c r="X43"/>
  <c r="BV44"/>
  <c r="X44"/>
  <c r="BV45"/>
  <c r="X45"/>
  <c r="BV53"/>
  <c r="X53"/>
  <c r="BU30"/>
  <c r="W30"/>
  <c r="BU31"/>
  <c r="W31"/>
  <c r="BU32"/>
  <c r="W32"/>
  <c r="BU33"/>
  <c r="W33"/>
  <c r="BU34"/>
  <c r="W34"/>
  <c r="BU35"/>
  <c r="W35"/>
  <c r="BU36"/>
  <c r="W36"/>
  <c r="BO38"/>
  <c r="BY39"/>
  <c r="BS38"/>
  <c r="BS37" s="1"/>
  <c r="CE55"/>
  <c r="BY47"/>
  <c r="BV82"/>
  <c r="X82"/>
  <c r="T81"/>
  <c r="BV81" s="1"/>
  <c r="BZ92"/>
  <c r="BO78"/>
  <c r="BY79"/>
  <c r="BS78"/>
  <c r="BU85"/>
  <c r="W85"/>
  <c r="BU93"/>
  <c r="W93"/>
  <c r="CB104"/>
  <c r="AB104"/>
  <c r="CB105"/>
  <c r="AB105"/>
  <c r="CB106"/>
  <c r="AB106"/>
  <c r="CB107"/>
  <c r="AB107"/>
  <c r="BU95"/>
  <c r="W95"/>
  <c r="BU96"/>
  <c r="W96"/>
  <c r="BU98"/>
  <c r="W98"/>
  <c r="BU99"/>
  <c r="W99"/>
  <c r="BU100"/>
  <c r="W100"/>
  <c r="CA102"/>
  <c r="AA102"/>
  <c r="BO86"/>
  <c r="S86"/>
  <c r="S84" s="1"/>
  <c r="BU84" s="1"/>
  <c r="BZ11"/>
  <c r="BT10"/>
  <c r="BU11"/>
  <c r="W11"/>
  <c r="BM9"/>
  <c r="BU29"/>
  <c r="W29"/>
  <c r="BV30"/>
  <c r="X30"/>
  <c r="BV31"/>
  <c r="X31"/>
  <c r="BV32"/>
  <c r="X32"/>
  <c r="BV33"/>
  <c r="X33"/>
  <c r="BV34"/>
  <c r="X34"/>
  <c r="BV35"/>
  <c r="X35"/>
  <c r="BV36"/>
  <c r="X36"/>
  <c r="BP38"/>
  <c r="P37"/>
  <c r="BP37" s="1"/>
  <c r="BZ39"/>
  <c r="BT38"/>
  <c r="BT37" s="1"/>
  <c r="CF55"/>
  <c r="BZ47"/>
  <c r="BU55"/>
  <c r="W55"/>
  <c r="S47"/>
  <c r="BU47" s="1"/>
  <c r="BU56"/>
  <c r="W56"/>
  <c r="BU58"/>
  <c r="W58"/>
  <c r="BU61"/>
  <c r="W61"/>
  <c r="BZ79"/>
  <c r="BT78"/>
  <c r="BV85"/>
  <c r="X85"/>
  <c r="BV93"/>
  <c r="X93"/>
  <c r="BU82"/>
  <c r="W82"/>
  <c r="S81"/>
  <c r="BU81" s="1"/>
  <c r="BY92"/>
  <c r="BV95"/>
  <c r="X95"/>
  <c r="BV96"/>
  <c r="X96"/>
  <c r="BV97"/>
  <c r="X97"/>
  <c r="BV98"/>
  <c r="X98"/>
  <c r="BV99"/>
  <c r="X99"/>
  <c r="BV100"/>
  <c r="X100"/>
  <c r="CB102"/>
  <c r="AB102"/>
  <c r="BP86"/>
  <c r="T86"/>
  <c r="BP101"/>
  <c r="T101"/>
  <c r="CJ8"/>
  <c r="CL8" s="1"/>
  <c r="CH8"/>
  <c r="BV12"/>
  <c r="X12"/>
  <c r="BV13"/>
  <c r="X13"/>
  <c r="BV14"/>
  <c r="X14"/>
  <c r="BV17"/>
  <c r="X17"/>
  <c r="BV19"/>
  <c r="X19"/>
  <c r="BV20"/>
  <c r="X20"/>
  <c r="BV21"/>
  <c r="X21"/>
  <c r="BV22"/>
  <c r="X22"/>
  <c r="BV23"/>
  <c r="X23"/>
  <c r="BV24"/>
  <c r="X24"/>
  <c r="BV25"/>
  <c r="X25"/>
  <c r="BV26"/>
  <c r="X26"/>
  <c r="BZ28"/>
  <c r="BT27"/>
  <c r="CI8"/>
  <c r="CK8" s="1"/>
  <c r="CG8"/>
  <c r="BU12"/>
  <c r="W12"/>
  <c r="BU13"/>
  <c r="W13"/>
  <c r="BU14"/>
  <c r="W14"/>
  <c r="BU17"/>
  <c r="W17"/>
  <c r="BU18"/>
  <c r="W18"/>
  <c r="BU19"/>
  <c r="W19"/>
  <c r="BU20"/>
  <c r="W20"/>
  <c r="BU21"/>
  <c r="W21"/>
  <c r="BU22"/>
  <c r="W22"/>
  <c r="BU24"/>
  <c r="W24"/>
  <c r="BU25"/>
  <c r="W25"/>
  <c r="BU26"/>
  <c r="W26"/>
  <c r="BY28"/>
  <c r="BS27"/>
  <c r="BV55"/>
  <c r="X55"/>
  <c r="T47"/>
  <c r="BV47" s="1"/>
  <c r="BV56"/>
  <c r="X56"/>
  <c r="BV58"/>
  <c r="X58"/>
  <c r="BV61"/>
  <c r="X61"/>
  <c r="E118"/>
  <c r="DU118" s="1"/>
  <c r="DU10"/>
  <c r="BA10"/>
  <c r="E9"/>
  <c r="BU39"/>
  <c r="W39"/>
  <c r="S38"/>
  <c r="BZ82"/>
  <c r="BT81"/>
  <c r="BV92"/>
  <c r="X92"/>
  <c r="BU79"/>
  <c r="W79"/>
  <c r="BU83"/>
  <c r="W83"/>
  <c r="BY85"/>
  <c r="BS86"/>
  <c r="CB109"/>
  <c r="AB109"/>
  <c r="CB111"/>
  <c r="AB111"/>
  <c r="CB112"/>
  <c r="AB112"/>
  <c r="CA109"/>
  <c r="AA109"/>
  <c r="AA110"/>
  <c r="CA111"/>
  <c r="AA111"/>
  <c r="CA112"/>
  <c r="AA112"/>
  <c r="BV108"/>
  <c r="X108"/>
  <c r="BJ12" i="8"/>
  <c r="BE12"/>
  <c r="BB12"/>
  <c r="AY12"/>
  <c r="AV12"/>
  <c r="AS12"/>
  <c r="AP12"/>
  <c r="AM12"/>
  <c r="AG12"/>
  <c r="AD12"/>
  <c r="AC12"/>
  <c r="BK128" i="10"/>
  <c r="D128"/>
  <c r="D127"/>
  <c r="D126"/>
  <c r="D125"/>
  <c r="D124"/>
  <c r="D123"/>
  <c r="D122"/>
  <c r="D121"/>
  <c r="D120"/>
  <c r="D118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AC91" s="1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E91" s="1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9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R9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C114" s="1"/>
  <c r="BG114" s="1"/>
  <c r="AA78"/>
  <c r="BK78" s="1"/>
  <c r="Z78"/>
  <c r="X78"/>
  <c r="V78"/>
  <c r="T78"/>
  <c r="R78"/>
  <c r="P78"/>
  <c r="N78"/>
  <c r="L78"/>
  <c r="J78"/>
  <c r="H78"/>
  <c r="F78"/>
  <c r="E78"/>
  <c r="E114" s="1"/>
  <c r="AI114" s="1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AA47"/>
  <c r="BK47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8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X117" s="1"/>
  <c r="V81"/>
  <c r="T81"/>
  <c r="T117" s="1"/>
  <c r="AX117" s="1"/>
  <c r="R81"/>
  <c r="P81"/>
  <c r="P117" s="1"/>
  <c r="BV117" s="1"/>
  <c r="N81"/>
  <c r="L81"/>
  <c r="L117" s="1"/>
  <c r="J81"/>
  <c r="H81"/>
  <c r="F81"/>
  <c r="E81"/>
  <c r="D81"/>
  <c r="BL81" s="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I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I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AA12"/>
  <c r="G12"/>
  <c r="AF12" s="1"/>
  <c r="D12"/>
  <c r="BL12" s="1"/>
  <c r="BK11"/>
  <c r="AE11"/>
  <c r="AH11" s="1"/>
  <c r="G1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DV111" i="5"/>
  <c r="DU111"/>
  <c r="DT111"/>
  <c r="DS111"/>
  <c r="BH111"/>
  <c r="BN111" s="1"/>
  <c r="BT111" s="1"/>
  <c r="BZ111" s="1"/>
  <c r="CF111" s="1"/>
  <c r="CL111" s="1"/>
  <c r="CR111" s="1"/>
  <c r="CX111" s="1"/>
  <c r="DD111" s="1"/>
  <c r="DJ111" s="1"/>
  <c r="BG111"/>
  <c r="BM111" s="1"/>
  <c r="BS111" s="1"/>
  <c r="BY111" s="1"/>
  <c r="CE111" s="1"/>
  <c r="CK111" s="1"/>
  <c r="CQ111" s="1"/>
  <c r="CW111" s="1"/>
  <c r="DC111" s="1"/>
  <c r="DI111" s="1"/>
  <c r="BB111"/>
  <c r="BA111"/>
  <c r="L111"/>
  <c r="BJ111" s="1"/>
  <c r="K111"/>
  <c r="BI111" s="1"/>
  <c r="DJ110"/>
  <c r="DI110"/>
  <c r="DD110"/>
  <c r="DC110"/>
  <c r="CX110"/>
  <c r="CW110"/>
  <c r="CR110"/>
  <c r="CQ110"/>
  <c r="CL110"/>
  <c r="CK110"/>
  <c r="CF110"/>
  <c r="CE110"/>
  <c r="BZ110"/>
  <c r="BY110"/>
  <c r="BT110"/>
  <c r="BS110"/>
  <c r="BN110"/>
  <c r="BM110"/>
  <c r="BH110"/>
  <c r="BG110"/>
  <c r="AV110"/>
  <c r="AU110"/>
  <c r="AR110"/>
  <c r="AQ110"/>
  <c r="AN110"/>
  <c r="AM110"/>
  <c r="AJ110"/>
  <c r="AI110"/>
  <c r="AF110"/>
  <c r="AE110"/>
  <c r="AB110"/>
  <c r="AA110"/>
  <c r="X110"/>
  <c r="W110"/>
  <c r="T110"/>
  <c r="S110"/>
  <c r="P110"/>
  <c r="O110"/>
  <c r="L110"/>
  <c r="K110"/>
  <c r="D110"/>
  <c r="C110"/>
  <c r="DJ109"/>
  <c r="DI109"/>
  <c r="DD109"/>
  <c r="DC109"/>
  <c r="CX109"/>
  <c r="CW109"/>
  <c r="CR109"/>
  <c r="CQ109"/>
  <c r="CL109"/>
  <c r="CK109"/>
  <c r="CF109"/>
  <c r="CE109"/>
  <c r="BZ109"/>
  <c r="BY109"/>
  <c r="BT109"/>
  <c r="BS109"/>
  <c r="BN109"/>
  <c r="BM109"/>
  <c r="BH109"/>
  <c r="BG109"/>
  <c r="AV109"/>
  <c r="AU109"/>
  <c r="AR109"/>
  <c r="AQ109"/>
  <c r="AN109"/>
  <c r="AM109"/>
  <c r="AJ109"/>
  <c r="AI109"/>
  <c r="AF109"/>
  <c r="AE109"/>
  <c r="AB109"/>
  <c r="AA109"/>
  <c r="X109"/>
  <c r="W109"/>
  <c r="T109"/>
  <c r="S109"/>
  <c r="P109"/>
  <c r="O109"/>
  <c r="L109"/>
  <c r="K109"/>
  <c r="D109"/>
  <c r="C109"/>
  <c r="DJ108"/>
  <c r="DI108"/>
  <c r="DD108"/>
  <c r="DC108"/>
  <c r="CX108"/>
  <c r="CW108"/>
  <c r="CR108"/>
  <c r="CQ108"/>
  <c r="CL108"/>
  <c r="CK108"/>
  <c r="CF108"/>
  <c r="CE108"/>
  <c r="BZ108"/>
  <c r="BY108"/>
  <c r="BT108"/>
  <c r="BS108"/>
  <c r="BN108"/>
  <c r="BM108"/>
  <c r="BH108"/>
  <c r="BG108"/>
  <c r="AV108"/>
  <c r="AU108"/>
  <c r="AR108"/>
  <c r="AQ108"/>
  <c r="AN108"/>
  <c r="AM108"/>
  <c r="AJ108"/>
  <c r="AI108"/>
  <c r="AF108"/>
  <c r="AE108"/>
  <c r="AB108"/>
  <c r="AA108"/>
  <c r="X108"/>
  <c r="W108"/>
  <c r="T108"/>
  <c r="S108"/>
  <c r="P108"/>
  <c r="O108"/>
  <c r="L108"/>
  <c r="K108"/>
  <c r="F108"/>
  <c r="F109" s="1"/>
  <c r="E108"/>
  <c r="E109" s="1"/>
  <c r="D108"/>
  <c r="C108"/>
  <c r="DJ107"/>
  <c r="DI107"/>
  <c r="DD107"/>
  <c r="DC107"/>
  <c r="CX107"/>
  <c r="CW107"/>
  <c r="CR107"/>
  <c r="CQ107"/>
  <c r="CL107"/>
  <c r="CK107"/>
  <c r="CF107"/>
  <c r="CE107"/>
  <c r="BZ107"/>
  <c r="BY107"/>
  <c r="BT107"/>
  <c r="BS107"/>
  <c r="BN107"/>
  <c r="BM107"/>
  <c r="BH107"/>
  <c r="BG107"/>
  <c r="AV107"/>
  <c r="AU107"/>
  <c r="AR107"/>
  <c r="AQ107"/>
  <c r="AN107"/>
  <c r="AM107"/>
  <c r="AJ107"/>
  <c r="AI107"/>
  <c r="AF107"/>
  <c r="AE107"/>
  <c r="AB107"/>
  <c r="AA107"/>
  <c r="X107"/>
  <c r="U107"/>
  <c r="W107" s="1"/>
  <c r="S107"/>
  <c r="R107"/>
  <c r="T107" s="1"/>
  <c r="P107"/>
  <c r="M107"/>
  <c r="O107" s="1"/>
  <c r="L107"/>
  <c r="K107"/>
  <c r="G107"/>
  <c r="F107"/>
  <c r="E107"/>
  <c r="D107"/>
  <c r="C107"/>
  <c r="DJ106"/>
  <c r="DI106"/>
  <c r="DD106"/>
  <c r="DC106"/>
  <c r="CX106"/>
  <c r="CW106"/>
  <c r="CR106"/>
  <c r="CQ106"/>
  <c r="CL106"/>
  <c r="CK106"/>
  <c r="CF106"/>
  <c r="CE106"/>
  <c r="BZ106"/>
  <c r="BY106"/>
  <c r="BT106"/>
  <c r="BS106"/>
  <c r="BN106"/>
  <c r="BM106"/>
  <c r="BH106"/>
  <c r="BG106"/>
  <c r="AV106"/>
  <c r="AU106"/>
  <c r="AR106"/>
  <c r="AQ106"/>
  <c r="AN106"/>
  <c r="AM106"/>
  <c r="AJ106"/>
  <c r="AI106"/>
  <c r="AF106"/>
  <c r="AE106"/>
  <c r="AB106"/>
  <c r="AA106"/>
  <c r="X106"/>
  <c r="W106"/>
  <c r="T106"/>
  <c r="S106"/>
  <c r="P106"/>
  <c r="O106"/>
  <c r="L106"/>
  <c r="K106"/>
  <c r="D106"/>
  <c r="C106"/>
  <c r="DJ105"/>
  <c r="DI105"/>
  <c r="DD105"/>
  <c r="DC105"/>
  <c r="CX105"/>
  <c r="CW105"/>
  <c r="CR105"/>
  <c r="CQ105"/>
  <c r="CL105"/>
  <c r="CK105"/>
  <c r="CF105"/>
  <c r="CE105"/>
  <c r="BZ105"/>
  <c r="BY105"/>
  <c r="BT105"/>
  <c r="BS105"/>
  <c r="BN105"/>
  <c r="BM105"/>
  <c r="BH105"/>
  <c r="BG105"/>
  <c r="AV105"/>
  <c r="AU105"/>
  <c r="AR105"/>
  <c r="AQ105"/>
  <c r="AN105"/>
  <c r="AM105"/>
  <c r="AJ105"/>
  <c r="AI105"/>
  <c r="AF105"/>
  <c r="AE105"/>
  <c r="AB105"/>
  <c r="AA105"/>
  <c r="X105"/>
  <c r="W105"/>
  <c r="T105"/>
  <c r="S105"/>
  <c r="P105"/>
  <c r="O105"/>
  <c r="L105"/>
  <c r="K105"/>
  <c r="D105"/>
  <c r="C105"/>
  <c r="DJ104"/>
  <c r="DI104"/>
  <c r="DD104"/>
  <c r="DC104"/>
  <c r="CX104"/>
  <c r="CW104"/>
  <c r="CR104"/>
  <c r="CQ104"/>
  <c r="CL104"/>
  <c r="CK104"/>
  <c r="CF104"/>
  <c r="CE104"/>
  <c r="BZ104"/>
  <c r="BY104"/>
  <c r="BT104"/>
  <c r="BS104"/>
  <c r="BN104"/>
  <c r="BM104"/>
  <c r="BH104"/>
  <c r="BG104"/>
  <c r="AV104"/>
  <c r="AU104"/>
  <c r="AR104"/>
  <c r="AQ104"/>
  <c r="AN104"/>
  <c r="AM104"/>
  <c r="AJ104"/>
  <c r="AI104"/>
  <c r="AF104"/>
  <c r="AE104"/>
  <c r="AB104"/>
  <c r="AA104"/>
  <c r="X104"/>
  <c r="W104"/>
  <c r="T104"/>
  <c r="S104"/>
  <c r="P104"/>
  <c r="O104"/>
  <c r="L104"/>
  <c r="K104"/>
  <c r="F104"/>
  <c r="E104"/>
  <c r="D104"/>
  <c r="C104"/>
  <c r="DJ103"/>
  <c r="DI103"/>
  <c r="DD103"/>
  <c r="DC103"/>
  <c r="CX103"/>
  <c r="CW103"/>
  <c r="CR103"/>
  <c r="CQ103"/>
  <c r="CL103"/>
  <c r="CK103"/>
  <c r="CF103"/>
  <c r="CE103"/>
  <c r="BZ103"/>
  <c r="BY103"/>
  <c r="BT103"/>
  <c r="BS103"/>
  <c r="BN103"/>
  <c r="BM103"/>
  <c r="BH103"/>
  <c r="BG103"/>
  <c r="AV103"/>
  <c r="AU103"/>
  <c r="AR103"/>
  <c r="AQ103"/>
  <c r="AN103"/>
  <c r="AM103"/>
  <c r="AJ103"/>
  <c r="AI103"/>
  <c r="AF103"/>
  <c r="AE103"/>
  <c r="AB103"/>
  <c r="AA103"/>
  <c r="X103"/>
  <c r="W103"/>
  <c r="T103"/>
  <c r="S103"/>
  <c r="P103"/>
  <c r="O103"/>
  <c r="L103"/>
  <c r="K103"/>
  <c r="F103"/>
  <c r="E103"/>
  <c r="D103"/>
  <c r="C103"/>
  <c r="DJ102"/>
  <c r="DI102"/>
  <c r="DD102"/>
  <c r="DC102"/>
  <c r="CX102"/>
  <c r="CW102"/>
  <c r="CR102"/>
  <c r="CQ102"/>
  <c r="CL102"/>
  <c r="CK102"/>
  <c r="CF102"/>
  <c r="CE102"/>
  <c r="BZ102"/>
  <c r="BY102"/>
  <c r="BT102"/>
  <c r="BS102"/>
  <c r="BN102"/>
  <c r="BM102"/>
  <c r="BH102"/>
  <c r="BG102"/>
  <c r="AV102"/>
  <c r="AU102"/>
  <c r="AR102"/>
  <c r="AQ102"/>
  <c r="AN102"/>
  <c r="AM102"/>
  <c r="AJ102"/>
  <c r="AI102"/>
  <c r="AF102"/>
  <c r="AE102"/>
  <c r="AB102"/>
  <c r="AA102"/>
  <c r="X102"/>
  <c r="W102"/>
  <c r="T102"/>
  <c r="S102"/>
  <c r="P102"/>
  <c r="O102"/>
  <c r="L102"/>
  <c r="K102"/>
  <c r="F102"/>
  <c r="E102"/>
  <c r="D102"/>
  <c r="C102"/>
  <c r="DJ101"/>
  <c r="DI101"/>
  <c r="DD101"/>
  <c r="DC101"/>
  <c r="CX101"/>
  <c r="CW101"/>
  <c r="CR101"/>
  <c r="CQ101"/>
  <c r="CL101"/>
  <c r="CK101"/>
  <c r="CF101"/>
  <c r="CE101"/>
  <c r="BZ101"/>
  <c r="BY101"/>
  <c r="BT101"/>
  <c r="BS101"/>
  <c r="BN101"/>
  <c r="BM101"/>
  <c r="BH101"/>
  <c r="BG101"/>
  <c r="AV101"/>
  <c r="AU101"/>
  <c r="AR101"/>
  <c r="AQ101"/>
  <c r="AN101"/>
  <c r="AM101"/>
  <c r="AJ101"/>
  <c r="AI101"/>
  <c r="AF101"/>
  <c r="AE101"/>
  <c r="AB101"/>
  <c r="AA101"/>
  <c r="X101"/>
  <c r="W101"/>
  <c r="T101"/>
  <c r="S101"/>
  <c r="P101"/>
  <c r="O101"/>
  <c r="L101"/>
  <c r="K101"/>
  <c r="D101"/>
  <c r="C101"/>
  <c r="DJ100"/>
  <c r="DI100"/>
  <c r="DD100"/>
  <c r="DC100"/>
  <c r="CX100"/>
  <c r="CW100"/>
  <c r="CR100"/>
  <c r="CQ100"/>
  <c r="CL100"/>
  <c r="CK100"/>
  <c r="CF100"/>
  <c r="CE100"/>
  <c r="BZ100"/>
  <c r="BY100"/>
  <c r="BT100"/>
  <c r="BS100"/>
  <c r="BN100"/>
  <c r="BM100"/>
  <c r="BH100"/>
  <c r="BG100"/>
  <c r="AV100"/>
  <c r="AU100"/>
  <c r="AR100"/>
  <c r="AQ100"/>
  <c r="AN100"/>
  <c r="AM100"/>
  <c r="AJ100"/>
  <c r="AI100"/>
  <c r="AF100"/>
  <c r="AE100"/>
  <c r="AB100"/>
  <c r="AA100"/>
  <c r="X100"/>
  <c r="W100"/>
  <c r="T100"/>
  <c r="S100"/>
  <c r="P100"/>
  <c r="O100"/>
  <c r="L100"/>
  <c r="K100"/>
  <c r="F100"/>
  <c r="E100"/>
  <c r="D100"/>
  <c r="C100"/>
  <c r="BB98"/>
  <c r="BA98"/>
  <c r="AW98"/>
  <c r="AV98"/>
  <c r="AS98"/>
  <c r="AU98" s="1"/>
  <c r="AR98"/>
  <c r="AO98"/>
  <c r="AQ98" s="1"/>
  <c r="AN98"/>
  <c r="AK98"/>
  <c r="AM98" s="1"/>
  <c r="AJ98"/>
  <c r="AG98"/>
  <c r="AI98" s="1"/>
  <c r="AF98"/>
  <c r="AC98"/>
  <c r="AE98" s="1"/>
  <c r="AB98"/>
  <c r="Y98"/>
  <c r="AA98" s="1"/>
  <c r="X98"/>
  <c r="U98"/>
  <c r="W98" s="1"/>
  <c r="T98"/>
  <c r="Q98"/>
  <c r="S98" s="1"/>
  <c r="P98"/>
  <c r="M98"/>
  <c r="O98" s="1"/>
  <c r="G98"/>
  <c r="DM97"/>
  <c r="DG97"/>
  <c r="DA97"/>
  <c r="CU97"/>
  <c r="BK97"/>
  <c r="BG97"/>
  <c r="O97"/>
  <c r="K97"/>
  <c r="DT96"/>
  <c r="DS96"/>
  <c r="BH96"/>
  <c r="BN96" s="1"/>
  <c r="BT96" s="1"/>
  <c r="BZ96" s="1"/>
  <c r="CF96" s="1"/>
  <c r="CL96" s="1"/>
  <c r="CR96" s="1"/>
  <c r="CX96" s="1"/>
  <c r="DD96" s="1"/>
  <c r="DJ96" s="1"/>
  <c r="BG96"/>
  <c r="BM96" s="1"/>
  <c r="BS96" s="1"/>
  <c r="BY96" s="1"/>
  <c r="CE96" s="1"/>
  <c r="CK96" s="1"/>
  <c r="CQ96" s="1"/>
  <c r="CW96" s="1"/>
  <c r="DC96" s="1"/>
  <c r="DI96" s="1"/>
  <c r="P96"/>
  <c r="O96"/>
  <c r="BO96" s="1"/>
  <c r="L96"/>
  <c r="BJ96" s="1"/>
  <c r="K96"/>
  <c r="BI96" s="1"/>
  <c r="F96"/>
  <c r="BB96" s="1"/>
  <c r="E96"/>
  <c r="DU96" s="1"/>
  <c r="DT95"/>
  <c r="DS95"/>
  <c r="BH95"/>
  <c r="BN95" s="1"/>
  <c r="BT95" s="1"/>
  <c r="BZ95" s="1"/>
  <c r="CF95" s="1"/>
  <c r="CL95" s="1"/>
  <c r="CR95" s="1"/>
  <c r="CX95" s="1"/>
  <c r="DD95" s="1"/>
  <c r="DJ95" s="1"/>
  <c r="BG95"/>
  <c r="BM95" s="1"/>
  <c r="BS95" s="1"/>
  <c r="BY95" s="1"/>
  <c r="CE95" s="1"/>
  <c r="CK95" s="1"/>
  <c r="CQ95" s="1"/>
  <c r="CW95" s="1"/>
  <c r="DC95" s="1"/>
  <c r="DI95" s="1"/>
  <c r="P95"/>
  <c r="T95" s="1"/>
  <c r="O95"/>
  <c r="BO95" s="1"/>
  <c r="L95"/>
  <c r="BJ95" s="1"/>
  <c r="K95"/>
  <c r="BI95" s="1"/>
  <c r="F95"/>
  <c r="BB95" s="1"/>
  <c r="E95"/>
  <c r="DU95" s="1"/>
  <c r="DT94"/>
  <c r="DS94"/>
  <c r="BH94"/>
  <c r="BN94" s="1"/>
  <c r="BT94" s="1"/>
  <c r="BZ94" s="1"/>
  <c r="CF94" s="1"/>
  <c r="CL94" s="1"/>
  <c r="CR94" s="1"/>
  <c r="CX94" s="1"/>
  <c r="DD94" s="1"/>
  <c r="DJ94" s="1"/>
  <c r="BG94"/>
  <c r="BM94" s="1"/>
  <c r="BS94" s="1"/>
  <c r="BY94" s="1"/>
  <c r="CE94" s="1"/>
  <c r="CK94" s="1"/>
  <c r="CQ94" s="1"/>
  <c r="CW94" s="1"/>
  <c r="DC94" s="1"/>
  <c r="DI94" s="1"/>
  <c r="P94"/>
  <c r="O94"/>
  <c r="BO94" s="1"/>
  <c r="L94"/>
  <c r="BJ94" s="1"/>
  <c r="K94"/>
  <c r="BI94" s="1"/>
  <c r="F94"/>
  <c r="BB94" s="1"/>
  <c r="E94"/>
  <c r="DU94" s="1"/>
  <c r="DT93"/>
  <c r="DS93"/>
  <c r="BH93"/>
  <c r="BN93" s="1"/>
  <c r="BT93" s="1"/>
  <c r="BZ93" s="1"/>
  <c r="CF93" s="1"/>
  <c r="CL93" s="1"/>
  <c r="CR93" s="1"/>
  <c r="CX93" s="1"/>
  <c r="DD93" s="1"/>
  <c r="DJ93" s="1"/>
  <c r="BG93"/>
  <c r="BM93" s="1"/>
  <c r="BS93" s="1"/>
  <c r="BY93" s="1"/>
  <c r="CE93" s="1"/>
  <c r="CK93" s="1"/>
  <c r="CQ93" s="1"/>
  <c r="CW93" s="1"/>
  <c r="DC93" s="1"/>
  <c r="DI93" s="1"/>
  <c r="P93"/>
  <c r="T93" s="1"/>
  <c r="O93"/>
  <c r="L93"/>
  <c r="BJ93" s="1"/>
  <c r="K93"/>
  <c r="BI93" s="1"/>
  <c r="F93"/>
  <c r="BB93" s="1"/>
  <c r="E93"/>
  <c r="DU93" s="1"/>
  <c r="DT92"/>
  <c r="DS92"/>
  <c r="BH92"/>
  <c r="BN92" s="1"/>
  <c r="BT92" s="1"/>
  <c r="BZ92" s="1"/>
  <c r="CF92" s="1"/>
  <c r="CL92" s="1"/>
  <c r="CR92" s="1"/>
  <c r="CX92" s="1"/>
  <c r="DD92" s="1"/>
  <c r="DJ92" s="1"/>
  <c r="BG92"/>
  <c r="BM92" s="1"/>
  <c r="BS92" s="1"/>
  <c r="BY92" s="1"/>
  <c r="CE92" s="1"/>
  <c r="CK92" s="1"/>
  <c r="CQ92" s="1"/>
  <c r="CW92" s="1"/>
  <c r="DC92" s="1"/>
  <c r="DI92" s="1"/>
  <c r="P92"/>
  <c r="O92"/>
  <c r="L92"/>
  <c r="BJ92" s="1"/>
  <c r="K92"/>
  <c r="F92"/>
  <c r="BB92" s="1"/>
  <c r="E92"/>
  <c r="DU92" s="1"/>
  <c r="DT91"/>
  <c r="DS91"/>
  <c r="BH91"/>
  <c r="BN91" s="1"/>
  <c r="BT91" s="1"/>
  <c r="BZ91" s="1"/>
  <c r="CF91" s="1"/>
  <c r="CL91" s="1"/>
  <c r="CR91" s="1"/>
  <c r="CX91" s="1"/>
  <c r="DD91" s="1"/>
  <c r="DJ91" s="1"/>
  <c r="BG91"/>
  <c r="BM91" s="1"/>
  <c r="BS91" s="1"/>
  <c r="BY91" s="1"/>
  <c r="CE91" s="1"/>
  <c r="CK91" s="1"/>
  <c r="CQ91" s="1"/>
  <c r="CW91" s="1"/>
  <c r="DC91" s="1"/>
  <c r="DI91" s="1"/>
  <c r="P91"/>
  <c r="T91" s="1"/>
  <c r="O91"/>
  <c r="L91"/>
  <c r="BJ91" s="1"/>
  <c r="K91"/>
  <c r="BI91" s="1"/>
  <c r="F91"/>
  <c r="BB91" s="1"/>
  <c r="E91"/>
  <c r="DT90"/>
  <c r="DS90"/>
  <c r="BH90"/>
  <c r="BG90"/>
  <c r="BM90" s="1"/>
  <c r="BS90" s="1"/>
  <c r="BY90" s="1"/>
  <c r="CE90" s="1"/>
  <c r="CK90" s="1"/>
  <c r="CQ90" s="1"/>
  <c r="CW90" s="1"/>
  <c r="DC90" s="1"/>
  <c r="DI90" s="1"/>
  <c r="AO90"/>
  <c r="AO87" s="1"/>
  <c r="AK90"/>
  <c r="AK87" s="1"/>
  <c r="AG90"/>
  <c r="AG87" s="1"/>
  <c r="AC90"/>
  <c r="AC87" s="1"/>
  <c r="Y90"/>
  <c r="U90"/>
  <c r="U87" s="1"/>
  <c r="Q90"/>
  <c r="Q87" s="1"/>
  <c r="P90"/>
  <c r="T90" s="1"/>
  <c r="M90"/>
  <c r="M87" s="1"/>
  <c r="L90"/>
  <c r="I90"/>
  <c r="K90" s="1"/>
  <c r="F90"/>
  <c r="DT89"/>
  <c r="DS89"/>
  <c r="BH89"/>
  <c r="BN89" s="1"/>
  <c r="BT89" s="1"/>
  <c r="BZ89" s="1"/>
  <c r="CF89" s="1"/>
  <c r="CL89" s="1"/>
  <c r="CR89" s="1"/>
  <c r="CX89" s="1"/>
  <c r="DD89" s="1"/>
  <c r="DJ89" s="1"/>
  <c r="BG89"/>
  <c r="BM89" s="1"/>
  <c r="BS89" s="1"/>
  <c r="BY89" s="1"/>
  <c r="CE89" s="1"/>
  <c r="CK89" s="1"/>
  <c r="CQ89" s="1"/>
  <c r="CW89" s="1"/>
  <c r="DC89" s="1"/>
  <c r="DI89" s="1"/>
  <c r="BB89"/>
  <c r="P89"/>
  <c r="BP89" s="1"/>
  <c r="O89"/>
  <c r="BO89" s="1"/>
  <c r="L89"/>
  <c r="BJ89" s="1"/>
  <c r="K89"/>
  <c r="BI89" s="1"/>
  <c r="E89"/>
  <c r="DV88"/>
  <c r="DU88"/>
  <c r="DT88"/>
  <c r="DS88"/>
  <c r="BP88"/>
  <c r="BO88"/>
  <c r="BH88"/>
  <c r="BN88" s="1"/>
  <c r="BT88" s="1"/>
  <c r="BZ88" s="1"/>
  <c r="CF88" s="1"/>
  <c r="CL88" s="1"/>
  <c r="CR88" s="1"/>
  <c r="CX88" s="1"/>
  <c r="DD88" s="1"/>
  <c r="DJ88" s="1"/>
  <c r="BG88"/>
  <c r="BM88" s="1"/>
  <c r="BS88" s="1"/>
  <c r="BY88" s="1"/>
  <c r="CE88" s="1"/>
  <c r="CK88" s="1"/>
  <c r="CQ88" s="1"/>
  <c r="CW88" s="1"/>
  <c r="DC88" s="1"/>
  <c r="DI88" s="1"/>
  <c r="BB88"/>
  <c r="BA88"/>
  <c r="T88"/>
  <c r="BV88" s="1"/>
  <c r="S88"/>
  <c r="BU88" s="1"/>
  <c r="L88"/>
  <c r="BJ88" s="1"/>
  <c r="K88"/>
  <c r="BI88" s="1"/>
  <c r="DR87"/>
  <c r="DQ87"/>
  <c r="DP87"/>
  <c r="DO87"/>
  <c r="DN87"/>
  <c r="DM87"/>
  <c r="DH87"/>
  <c r="DG87"/>
  <c r="DB87"/>
  <c r="DA87"/>
  <c r="CV87"/>
  <c r="CU87"/>
  <c r="CP87"/>
  <c r="CO87"/>
  <c r="CJ87"/>
  <c r="CI87"/>
  <c r="CD87"/>
  <c r="CC87"/>
  <c r="BX87"/>
  <c r="BW87"/>
  <c r="BR87"/>
  <c r="BQ87"/>
  <c r="BK87"/>
  <c r="BF87"/>
  <c r="BE87"/>
  <c r="BD87"/>
  <c r="BC87"/>
  <c r="AZ87"/>
  <c r="AY87"/>
  <c r="DS87" s="1"/>
  <c r="AX87"/>
  <c r="AW87"/>
  <c r="AT87"/>
  <c r="AS87"/>
  <c r="AP87"/>
  <c r="AL87"/>
  <c r="AH87"/>
  <c r="AD87"/>
  <c r="Z87"/>
  <c r="V87"/>
  <c r="R87"/>
  <c r="N87"/>
  <c r="J87"/>
  <c r="I87"/>
  <c r="H87"/>
  <c r="G87"/>
  <c r="D87"/>
  <c r="C87"/>
  <c r="DV86"/>
  <c r="DU86"/>
  <c r="DT86"/>
  <c r="DS86"/>
  <c r="BH86"/>
  <c r="BN86" s="1"/>
  <c r="BT86" s="1"/>
  <c r="BZ86" s="1"/>
  <c r="CF86" s="1"/>
  <c r="CL86" s="1"/>
  <c r="CR86" s="1"/>
  <c r="CX86" s="1"/>
  <c r="DD86" s="1"/>
  <c r="DJ86" s="1"/>
  <c r="BG86"/>
  <c r="BM86" s="1"/>
  <c r="BS86" s="1"/>
  <c r="BY86" s="1"/>
  <c r="CE86" s="1"/>
  <c r="CK86" s="1"/>
  <c r="CQ86" s="1"/>
  <c r="CW86" s="1"/>
  <c r="DC86" s="1"/>
  <c r="DI86" s="1"/>
  <c r="BB86"/>
  <c r="BA86"/>
  <c r="L86"/>
  <c r="BJ86" s="1"/>
  <c r="K86"/>
  <c r="BI86" s="1"/>
  <c r="D86"/>
  <c r="C86"/>
  <c r="DV85"/>
  <c r="DU85"/>
  <c r="DT85"/>
  <c r="DS85"/>
  <c r="BH85"/>
  <c r="BN85" s="1"/>
  <c r="BT85" s="1"/>
  <c r="BZ85" s="1"/>
  <c r="CF85" s="1"/>
  <c r="CL85" s="1"/>
  <c r="CR85" s="1"/>
  <c r="CX85" s="1"/>
  <c r="DD85" s="1"/>
  <c r="DJ85" s="1"/>
  <c r="BG85"/>
  <c r="BM85" s="1"/>
  <c r="BS85" s="1"/>
  <c r="BY85" s="1"/>
  <c r="CE85" s="1"/>
  <c r="CK85" s="1"/>
  <c r="CQ85" s="1"/>
  <c r="CW85" s="1"/>
  <c r="DC85" s="1"/>
  <c r="DI85" s="1"/>
  <c r="BB85"/>
  <c r="BA85"/>
  <c r="L85"/>
  <c r="BJ85" s="1"/>
  <c r="K85"/>
  <c r="BI85" s="1"/>
  <c r="D85"/>
  <c r="C85"/>
  <c r="C83" s="1"/>
  <c r="DV84"/>
  <c r="DU84"/>
  <c r="DT84"/>
  <c r="DS84"/>
  <c r="BH84"/>
  <c r="BN84" s="1"/>
  <c r="BT84" s="1"/>
  <c r="BZ84" s="1"/>
  <c r="CF84" s="1"/>
  <c r="CL84" s="1"/>
  <c r="CR84" s="1"/>
  <c r="CX84" s="1"/>
  <c r="DD84" s="1"/>
  <c r="DJ84" s="1"/>
  <c r="BG84"/>
  <c r="BM84" s="1"/>
  <c r="BS84" s="1"/>
  <c r="BY84" s="1"/>
  <c r="CE84" s="1"/>
  <c r="CK84" s="1"/>
  <c r="CQ84" s="1"/>
  <c r="CW84" s="1"/>
  <c r="DC84" s="1"/>
  <c r="DI84" s="1"/>
  <c r="BB84"/>
  <c r="BA84"/>
  <c r="L84"/>
  <c r="BJ84" s="1"/>
  <c r="K84"/>
  <c r="BI84" s="1"/>
  <c r="D84"/>
  <c r="C84"/>
  <c r="BH83"/>
  <c r="BN83" s="1"/>
  <c r="BT83" s="1"/>
  <c r="BZ83" s="1"/>
  <c r="CF83" s="1"/>
  <c r="CL83" s="1"/>
  <c r="CR83" s="1"/>
  <c r="CX83" s="1"/>
  <c r="DD83" s="1"/>
  <c r="DJ83" s="1"/>
  <c r="BG83"/>
  <c r="BM83" s="1"/>
  <c r="BS83" s="1"/>
  <c r="BY83" s="1"/>
  <c r="CE83" s="1"/>
  <c r="CK83" s="1"/>
  <c r="CQ83" s="1"/>
  <c r="CW83" s="1"/>
  <c r="DC83" s="1"/>
  <c r="DI83" s="1"/>
  <c r="AZ83"/>
  <c r="DT83" s="1"/>
  <c r="AY83"/>
  <c r="AX83"/>
  <c r="AW83"/>
  <c r="AT83"/>
  <c r="AS83"/>
  <c r="AP83"/>
  <c r="AP80" s="1"/>
  <c r="AO83"/>
  <c r="AL83"/>
  <c r="AL80" s="1"/>
  <c r="AK83"/>
  <c r="AH83"/>
  <c r="AH80" s="1"/>
  <c r="AG83"/>
  <c r="AD83"/>
  <c r="AD80" s="1"/>
  <c r="AC83"/>
  <c r="Z83"/>
  <c r="Z80" s="1"/>
  <c r="Y83"/>
  <c r="V83"/>
  <c r="V80" s="1"/>
  <c r="U83"/>
  <c r="R83"/>
  <c r="R80" s="1"/>
  <c r="Q83"/>
  <c r="N83"/>
  <c r="N80" s="1"/>
  <c r="M83"/>
  <c r="J83"/>
  <c r="J80" s="1"/>
  <c r="I83"/>
  <c r="H83"/>
  <c r="H80" s="1"/>
  <c r="G83"/>
  <c r="F83"/>
  <c r="BB83" s="1"/>
  <c r="E83"/>
  <c r="DV83" s="1"/>
  <c r="D83"/>
  <c r="DV82"/>
  <c r="DU82"/>
  <c r="DT82"/>
  <c r="DS82"/>
  <c r="BH82"/>
  <c r="BN82" s="1"/>
  <c r="BT82" s="1"/>
  <c r="BZ82" s="1"/>
  <c r="CF82" s="1"/>
  <c r="CL82" s="1"/>
  <c r="CR82" s="1"/>
  <c r="CX82" s="1"/>
  <c r="DD82" s="1"/>
  <c r="DJ82" s="1"/>
  <c r="BG82"/>
  <c r="BM82" s="1"/>
  <c r="BS82" s="1"/>
  <c r="BY82" s="1"/>
  <c r="CE82" s="1"/>
  <c r="CK82" s="1"/>
  <c r="CQ82" s="1"/>
  <c r="CW82" s="1"/>
  <c r="DC82" s="1"/>
  <c r="DI82" s="1"/>
  <c r="BB82"/>
  <c r="BA82"/>
  <c r="L82"/>
  <c r="BJ82" s="1"/>
  <c r="K82"/>
  <c r="BI82" s="1"/>
  <c r="D82"/>
  <c r="C82"/>
  <c r="DR81"/>
  <c r="DR80" s="1"/>
  <c r="DQ81"/>
  <c r="DQ80" s="1"/>
  <c r="BL81"/>
  <c r="BL90" s="1"/>
  <c r="BL87" s="1"/>
  <c r="BF81"/>
  <c r="BF80" s="1"/>
  <c r="BE81"/>
  <c r="BE80" s="1"/>
  <c r="BD81"/>
  <c r="BC81"/>
  <c r="BC80" s="1"/>
  <c r="AZ81"/>
  <c r="AY81"/>
  <c r="AX81"/>
  <c r="AT81"/>
  <c r="AT80" s="1"/>
  <c r="AS81"/>
  <c r="AS80" s="1"/>
  <c r="AO81"/>
  <c r="AK81"/>
  <c r="AG81"/>
  <c r="AC81"/>
  <c r="AC80" s="1"/>
  <c r="Y81"/>
  <c r="U81"/>
  <c r="Q81"/>
  <c r="M81"/>
  <c r="M80" s="1"/>
  <c r="L81"/>
  <c r="I81"/>
  <c r="I80" s="1"/>
  <c r="G81"/>
  <c r="D81"/>
  <c r="C81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DV75"/>
  <c r="DU75"/>
  <c r="DT75"/>
  <c r="DS75"/>
  <c r="BH75"/>
  <c r="BG75"/>
  <c r="BB75"/>
  <c r="BA75"/>
  <c r="L75"/>
  <c r="K75"/>
  <c r="D75"/>
  <c r="C75"/>
  <c r="DV74"/>
  <c r="DU74"/>
  <c r="DT74"/>
  <c r="DS74"/>
  <c r="BH74"/>
  <c r="BN74" s="1"/>
  <c r="BG74"/>
  <c r="BG73" s="1"/>
  <c r="BA74"/>
  <c r="L74"/>
  <c r="K74"/>
  <c r="F74"/>
  <c r="BB74" s="1"/>
  <c r="D74"/>
  <c r="C74"/>
  <c r="DR73"/>
  <c r="DQ73"/>
  <c r="DP73"/>
  <c r="DO73"/>
  <c r="DN73"/>
  <c r="DM73"/>
  <c r="DH73"/>
  <c r="DG73"/>
  <c r="DB73"/>
  <c r="DA73"/>
  <c r="CV73"/>
  <c r="CU73"/>
  <c r="CP73"/>
  <c r="CO73"/>
  <c r="CJ73"/>
  <c r="CI73"/>
  <c r="CD73"/>
  <c r="CC73"/>
  <c r="BX73"/>
  <c r="BW73"/>
  <c r="BR73"/>
  <c r="BQ73"/>
  <c r="BL73"/>
  <c r="BK73"/>
  <c r="BH73"/>
  <c r="BF73"/>
  <c r="BE73"/>
  <c r="BD73"/>
  <c r="BC73"/>
  <c r="AZ73"/>
  <c r="DT73" s="1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E73"/>
  <c r="DV72"/>
  <c r="DU72"/>
  <c r="DT72"/>
  <c r="BH72"/>
  <c r="BN72" s="1"/>
  <c r="BT72" s="1"/>
  <c r="BZ72" s="1"/>
  <c r="CF72" s="1"/>
  <c r="CL72" s="1"/>
  <c r="CR72" s="1"/>
  <c r="CX72" s="1"/>
  <c r="DD72" s="1"/>
  <c r="DJ72" s="1"/>
  <c r="BG72"/>
  <c r="BM72" s="1"/>
  <c r="BS72" s="1"/>
  <c r="BY72" s="1"/>
  <c r="CE72" s="1"/>
  <c r="CK72" s="1"/>
  <c r="CQ72" s="1"/>
  <c r="CW72" s="1"/>
  <c r="DC72" s="1"/>
  <c r="DI72" s="1"/>
  <c r="AY72"/>
  <c r="AH72"/>
  <c r="AH70" s="1"/>
  <c r="AG72"/>
  <c r="L72"/>
  <c r="P72" s="1"/>
  <c r="K72"/>
  <c r="F72"/>
  <c r="BB72" s="1"/>
  <c r="D72"/>
  <c r="C72"/>
  <c r="DV71"/>
  <c r="DU71"/>
  <c r="DT71"/>
  <c r="BH71"/>
  <c r="BG71"/>
  <c r="AY71"/>
  <c r="DS71" s="1"/>
  <c r="AK71"/>
  <c r="AG71"/>
  <c r="L71"/>
  <c r="K71"/>
  <c r="BI71" s="1"/>
  <c r="F71"/>
  <c r="D71"/>
  <c r="C71"/>
  <c r="DR70"/>
  <c r="DQ70"/>
  <c r="DP70"/>
  <c r="DO70"/>
  <c r="DN70"/>
  <c r="DM70"/>
  <c r="DH70"/>
  <c r="DG70"/>
  <c r="DB70"/>
  <c r="DA70"/>
  <c r="CV70"/>
  <c r="CU70"/>
  <c r="CP70"/>
  <c r="CO70"/>
  <c r="CJ70"/>
  <c r="CI70"/>
  <c r="CD70"/>
  <c r="CC70"/>
  <c r="BX70"/>
  <c r="BW70"/>
  <c r="BR70"/>
  <c r="BQ70"/>
  <c r="BL70"/>
  <c r="BK70"/>
  <c r="BF70"/>
  <c r="BE70"/>
  <c r="BD70"/>
  <c r="BC70"/>
  <c r="AZ70"/>
  <c r="DT70" s="1"/>
  <c r="AX70"/>
  <c r="AW70"/>
  <c r="AT70"/>
  <c r="AS70"/>
  <c r="AP70"/>
  <c r="AL70"/>
  <c r="AD70"/>
  <c r="AC70"/>
  <c r="Z70"/>
  <c r="Y70"/>
  <c r="V70"/>
  <c r="U70"/>
  <c r="R70"/>
  <c r="Q70"/>
  <c r="N70"/>
  <c r="M70"/>
  <c r="J70"/>
  <c r="I70"/>
  <c r="H70"/>
  <c r="G70"/>
  <c r="E70"/>
  <c r="DT69"/>
  <c r="BH69"/>
  <c r="BN69" s="1"/>
  <c r="BT69" s="1"/>
  <c r="BZ69" s="1"/>
  <c r="CF69" s="1"/>
  <c r="CL69" s="1"/>
  <c r="CR69" s="1"/>
  <c r="CX69" s="1"/>
  <c r="DD69" s="1"/>
  <c r="DJ69" s="1"/>
  <c r="BG69"/>
  <c r="BM69" s="1"/>
  <c r="BS69" s="1"/>
  <c r="BY69" s="1"/>
  <c r="CE69" s="1"/>
  <c r="CK69" s="1"/>
  <c r="CQ69" s="1"/>
  <c r="CW69" s="1"/>
  <c r="DC69" s="1"/>
  <c r="DI69" s="1"/>
  <c r="AY69"/>
  <c r="DS69" s="1"/>
  <c r="AG69"/>
  <c r="AG67" s="1"/>
  <c r="L69"/>
  <c r="BJ69" s="1"/>
  <c r="K69"/>
  <c r="O69" s="1"/>
  <c r="F69"/>
  <c r="BB69" s="1"/>
  <c r="D69"/>
  <c r="C69"/>
  <c r="DT68"/>
  <c r="BH68"/>
  <c r="BN68" s="1"/>
  <c r="BT68" s="1"/>
  <c r="BZ68" s="1"/>
  <c r="CF68" s="1"/>
  <c r="CL68" s="1"/>
  <c r="CR68" s="1"/>
  <c r="CX68" s="1"/>
  <c r="DD68" s="1"/>
  <c r="DJ68" s="1"/>
  <c r="BG68"/>
  <c r="BM68" s="1"/>
  <c r="AY68"/>
  <c r="AK68"/>
  <c r="L68"/>
  <c r="K68"/>
  <c r="BI68" s="1"/>
  <c r="F68"/>
  <c r="BB68" s="1"/>
  <c r="D68"/>
  <c r="C68"/>
  <c r="DR67"/>
  <c r="DQ67"/>
  <c r="DP67"/>
  <c r="DO67"/>
  <c r="DN67"/>
  <c r="DM67"/>
  <c r="DH67"/>
  <c r="DG67"/>
  <c r="DB67"/>
  <c r="DA67"/>
  <c r="CV67"/>
  <c r="CU67"/>
  <c r="CP67"/>
  <c r="CO67"/>
  <c r="CJ67"/>
  <c r="CI67"/>
  <c r="CD67"/>
  <c r="CC67"/>
  <c r="BX67"/>
  <c r="BW67"/>
  <c r="BR67"/>
  <c r="BQ67"/>
  <c r="BL67"/>
  <c r="BK67"/>
  <c r="BF67"/>
  <c r="BE67"/>
  <c r="BD67"/>
  <c r="BC67"/>
  <c r="AZ67"/>
  <c r="AX67"/>
  <c r="AW67"/>
  <c r="AT67"/>
  <c r="AS67"/>
  <c r="AP67"/>
  <c r="AO67"/>
  <c r="AL67"/>
  <c r="AH67"/>
  <c r="AD67"/>
  <c r="AC67"/>
  <c r="Z67"/>
  <c r="Y67"/>
  <c r="V67"/>
  <c r="U67"/>
  <c r="R67"/>
  <c r="Q67"/>
  <c r="N67"/>
  <c r="M67"/>
  <c r="J67"/>
  <c r="I67"/>
  <c r="H67"/>
  <c r="G67"/>
  <c r="D66"/>
  <c r="C66"/>
  <c r="DV62"/>
  <c r="DU62"/>
  <c r="DT62"/>
  <c r="DS62"/>
  <c r="DL62"/>
  <c r="DK62"/>
  <c r="DF62"/>
  <c r="DE62"/>
  <c r="CZ62"/>
  <c r="CY62"/>
  <c r="CT62"/>
  <c r="CS62"/>
  <c r="CN62"/>
  <c r="CM62"/>
  <c r="CH62"/>
  <c r="CG62"/>
  <c r="CB62"/>
  <c r="CA62"/>
  <c r="BV62"/>
  <c r="BU62"/>
  <c r="BP62"/>
  <c r="BO62"/>
  <c r="BH62"/>
  <c r="BG62"/>
  <c r="BB62"/>
  <c r="BA62"/>
  <c r="L62"/>
  <c r="BJ62" s="1"/>
  <c r="K62"/>
  <c r="BI62" s="1"/>
  <c r="DV61"/>
  <c r="DU61"/>
  <c r="DT61"/>
  <c r="DS61"/>
  <c r="DL61"/>
  <c r="DK61"/>
  <c r="DF61"/>
  <c r="DE61"/>
  <c r="CZ61"/>
  <c r="CY61"/>
  <c r="CT61"/>
  <c r="CS61"/>
  <c r="CN61"/>
  <c r="CM61"/>
  <c r="CH61"/>
  <c r="CG61"/>
  <c r="CB61"/>
  <c r="CA61"/>
  <c r="BV61"/>
  <c r="BU61"/>
  <c r="BP61"/>
  <c r="BO61"/>
  <c r="BH61"/>
  <c r="BG61"/>
  <c r="BB61"/>
  <c r="BA61"/>
  <c r="L61"/>
  <c r="BJ61" s="1"/>
  <c r="K61"/>
  <c r="BI61" s="1"/>
  <c r="DV60"/>
  <c r="DU60"/>
  <c r="DT60"/>
  <c r="DS60"/>
  <c r="BH60"/>
  <c r="BN60" s="1"/>
  <c r="BT60" s="1"/>
  <c r="BZ60" s="1"/>
  <c r="CF60" s="1"/>
  <c r="CL60" s="1"/>
  <c r="CR60" s="1"/>
  <c r="CX60" s="1"/>
  <c r="DD60" s="1"/>
  <c r="DJ60" s="1"/>
  <c r="BG60"/>
  <c r="BM60" s="1"/>
  <c r="BS60" s="1"/>
  <c r="BY60" s="1"/>
  <c r="CE60" s="1"/>
  <c r="CK60" s="1"/>
  <c r="CQ60" s="1"/>
  <c r="CW60" s="1"/>
  <c r="DC60" s="1"/>
  <c r="DI60" s="1"/>
  <c r="BA60"/>
  <c r="AW60"/>
  <c r="AS60"/>
  <c r="Y60"/>
  <c r="U60"/>
  <c r="Q60"/>
  <c r="M60"/>
  <c r="L60"/>
  <c r="I60"/>
  <c r="G60"/>
  <c r="F60"/>
  <c r="BB60" s="1"/>
  <c r="D60"/>
  <c r="C60"/>
  <c r="DV59"/>
  <c r="DU59"/>
  <c r="DT59"/>
  <c r="DS59"/>
  <c r="DL59"/>
  <c r="DK59"/>
  <c r="DF59"/>
  <c r="DE59"/>
  <c r="CZ59"/>
  <c r="CY59"/>
  <c r="CT59"/>
  <c r="CS59"/>
  <c r="CN59"/>
  <c r="CM59"/>
  <c r="CH59"/>
  <c r="CG59"/>
  <c r="CB59"/>
  <c r="CA59"/>
  <c r="BV59"/>
  <c r="BU59"/>
  <c r="BP59"/>
  <c r="BO59"/>
  <c r="BH59"/>
  <c r="BG59"/>
  <c r="BB59"/>
  <c r="BA59"/>
  <c r="L59"/>
  <c r="BJ59" s="1"/>
  <c r="K59"/>
  <c r="BI59" s="1"/>
  <c r="DV58"/>
  <c r="DU58"/>
  <c r="DT58"/>
  <c r="DS58"/>
  <c r="DL58"/>
  <c r="DK58"/>
  <c r="DF58"/>
  <c r="DE58"/>
  <c r="CZ58"/>
  <c r="CY58"/>
  <c r="CT58"/>
  <c r="CS58"/>
  <c r="CN58"/>
  <c r="CM58"/>
  <c r="CH58"/>
  <c r="CG58"/>
  <c r="CB58"/>
  <c r="CA58"/>
  <c r="BV58"/>
  <c r="BU58"/>
  <c r="BP58"/>
  <c r="BO58"/>
  <c r="BH58"/>
  <c r="BG58"/>
  <c r="BB58"/>
  <c r="BA58"/>
  <c r="L58"/>
  <c r="BJ58" s="1"/>
  <c r="K58"/>
  <c r="BI58" s="1"/>
  <c r="DT57"/>
  <c r="DS57"/>
  <c r="BH57"/>
  <c r="BN57" s="1"/>
  <c r="BT57" s="1"/>
  <c r="BZ57" s="1"/>
  <c r="CF57" s="1"/>
  <c r="CL57" s="1"/>
  <c r="CR57" s="1"/>
  <c r="CX57" s="1"/>
  <c r="DD57" s="1"/>
  <c r="DJ57" s="1"/>
  <c r="BG57"/>
  <c r="BM57" s="1"/>
  <c r="BS57" s="1"/>
  <c r="BY57" s="1"/>
  <c r="CE57" s="1"/>
  <c r="CK57" s="1"/>
  <c r="CQ57" s="1"/>
  <c r="CW57" s="1"/>
  <c r="DC57" s="1"/>
  <c r="DI57" s="1"/>
  <c r="AW57"/>
  <c r="Y57"/>
  <c r="U57"/>
  <c r="L57"/>
  <c r="P57" s="1"/>
  <c r="K57"/>
  <c r="F57"/>
  <c r="BB57" s="1"/>
  <c r="D57"/>
  <c r="C57"/>
  <c r="DV56"/>
  <c r="DU56"/>
  <c r="DT56"/>
  <c r="DS56"/>
  <c r="DL56"/>
  <c r="DK56"/>
  <c r="DF56"/>
  <c r="DE56"/>
  <c r="CZ56"/>
  <c r="CY56"/>
  <c r="CT56"/>
  <c r="CS56"/>
  <c r="CN56"/>
  <c r="CM56"/>
  <c r="CH56"/>
  <c r="CG56"/>
  <c r="CB56"/>
  <c r="CA56"/>
  <c r="BV56"/>
  <c r="BU56"/>
  <c r="BP56"/>
  <c r="BO56"/>
  <c r="BH56"/>
  <c r="BG56"/>
  <c r="BB56"/>
  <c r="BA56"/>
  <c r="L56"/>
  <c r="BJ56" s="1"/>
  <c r="K56"/>
  <c r="BI56" s="1"/>
  <c r="DU55"/>
  <c r="DS55"/>
  <c r="DR55"/>
  <c r="DV55" s="1"/>
  <c r="BH55"/>
  <c r="BN55" s="1"/>
  <c r="BT55" s="1"/>
  <c r="BZ55" s="1"/>
  <c r="CF55" s="1"/>
  <c r="CL55" s="1"/>
  <c r="CR55" s="1"/>
  <c r="CX55" s="1"/>
  <c r="DD55" s="1"/>
  <c r="DJ55" s="1"/>
  <c r="BG55"/>
  <c r="BA55"/>
  <c r="AW55"/>
  <c r="AS55"/>
  <c r="AC55"/>
  <c r="Y55"/>
  <c r="U55"/>
  <c r="Q55"/>
  <c r="M55"/>
  <c r="L55"/>
  <c r="I55"/>
  <c r="G55"/>
  <c r="F55"/>
  <c r="BB55" s="1"/>
  <c r="D55"/>
  <c r="C55"/>
  <c r="DU54"/>
  <c r="DS54"/>
  <c r="DR54"/>
  <c r="DV54" s="1"/>
  <c r="BH54"/>
  <c r="BN54" s="1"/>
  <c r="BG54"/>
  <c r="BM54" s="1"/>
  <c r="BA54"/>
  <c r="AW54"/>
  <c r="AS54"/>
  <c r="AC54"/>
  <c r="Y54"/>
  <c r="U54"/>
  <c r="Q54"/>
  <c r="M54"/>
  <c r="L54"/>
  <c r="I54"/>
  <c r="G54"/>
  <c r="F54"/>
  <c r="BB54" s="1"/>
  <c r="D54"/>
  <c r="C54"/>
  <c r="DV53"/>
  <c r="DU53"/>
  <c r="DT53"/>
  <c r="DS53"/>
  <c r="DL53"/>
  <c r="DK53"/>
  <c r="DF53"/>
  <c r="DE53"/>
  <c r="CZ53"/>
  <c r="CY53"/>
  <c r="CT53"/>
  <c r="CS53"/>
  <c r="CN53"/>
  <c r="CM53"/>
  <c r="CH53"/>
  <c r="CG53"/>
  <c r="CB53"/>
  <c r="CA53"/>
  <c r="BV53"/>
  <c r="BU53"/>
  <c r="BP53"/>
  <c r="BO53"/>
  <c r="BH53"/>
  <c r="BG53"/>
  <c r="BB53"/>
  <c r="BA53"/>
  <c r="L53"/>
  <c r="BJ53" s="1"/>
  <c r="K53"/>
  <c r="BI53" s="1"/>
  <c r="DR52"/>
  <c r="DT52" s="1"/>
  <c r="BH52"/>
  <c r="BN52" s="1"/>
  <c r="BT52" s="1"/>
  <c r="BZ52" s="1"/>
  <c r="CF52" s="1"/>
  <c r="CL52" s="1"/>
  <c r="CR52" s="1"/>
  <c r="CX52" s="1"/>
  <c r="DD52" s="1"/>
  <c r="DJ52" s="1"/>
  <c r="BG52"/>
  <c r="BM52" s="1"/>
  <c r="BS52" s="1"/>
  <c r="BY52" s="1"/>
  <c r="CE52" s="1"/>
  <c r="CK52" s="1"/>
  <c r="CQ52" s="1"/>
  <c r="CW52" s="1"/>
  <c r="DC52" s="1"/>
  <c r="DI52" s="1"/>
  <c r="AY52"/>
  <c r="AW52"/>
  <c r="AS52"/>
  <c r="L52"/>
  <c r="K52"/>
  <c r="O52" s="1"/>
  <c r="F52"/>
  <c r="BB52" s="1"/>
  <c r="D52"/>
  <c r="C52"/>
  <c r="DV51"/>
  <c r="DU51"/>
  <c r="DT51"/>
  <c r="DS51"/>
  <c r="DL51"/>
  <c r="DK51"/>
  <c r="DF51"/>
  <c r="DE51"/>
  <c r="CZ51"/>
  <c r="CY51"/>
  <c r="CT51"/>
  <c r="CS51"/>
  <c r="CN51"/>
  <c r="CM51"/>
  <c r="CH51"/>
  <c r="CG51"/>
  <c r="CB51"/>
  <c r="CA51"/>
  <c r="BV51"/>
  <c r="BU51"/>
  <c r="BP51"/>
  <c r="BO51"/>
  <c r="BH51"/>
  <c r="BG51"/>
  <c r="BB51"/>
  <c r="BA51"/>
  <c r="L51"/>
  <c r="BJ51" s="1"/>
  <c r="K51"/>
  <c r="BI51" s="1"/>
  <c r="DV50"/>
  <c r="DU50"/>
  <c r="DT50"/>
  <c r="DS50"/>
  <c r="DL50"/>
  <c r="DK50"/>
  <c r="DF50"/>
  <c r="DE50"/>
  <c r="CZ50"/>
  <c r="CY50"/>
  <c r="CT50"/>
  <c r="CS50"/>
  <c r="CN50"/>
  <c r="CM50"/>
  <c r="CH50"/>
  <c r="CG50"/>
  <c r="CB50"/>
  <c r="CA50"/>
  <c r="BV50"/>
  <c r="BU50"/>
  <c r="BP50"/>
  <c r="BO50"/>
  <c r="BH50"/>
  <c r="BG50"/>
  <c r="BB50"/>
  <c r="BA50"/>
  <c r="L50"/>
  <c r="BJ50" s="1"/>
  <c r="K50"/>
  <c r="BI50" s="1"/>
  <c r="DV49"/>
  <c r="DU49"/>
  <c r="DT49"/>
  <c r="DS49"/>
  <c r="DL49"/>
  <c r="DK49"/>
  <c r="DF49"/>
  <c r="DE49"/>
  <c r="CZ49"/>
  <c r="CY49"/>
  <c r="CT49"/>
  <c r="CS49"/>
  <c r="CN49"/>
  <c r="CM49"/>
  <c r="CH49"/>
  <c r="CG49"/>
  <c r="CB49"/>
  <c r="CA49"/>
  <c r="BV49"/>
  <c r="BU49"/>
  <c r="BP49"/>
  <c r="BO49"/>
  <c r="BH49"/>
  <c r="BG49"/>
  <c r="BB49"/>
  <c r="BA49"/>
  <c r="L49"/>
  <c r="BJ49" s="1"/>
  <c r="K49"/>
  <c r="BI49" s="1"/>
  <c r="DR48"/>
  <c r="DQ48"/>
  <c r="DQ46" s="1"/>
  <c r="DP48"/>
  <c r="DP46" s="1"/>
  <c r="DO48"/>
  <c r="DO46" s="1"/>
  <c r="DN48"/>
  <c r="DN46" s="1"/>
  <c r="DM48"/>
  <c r="DM46" s="1"/>
  <c r="DJ48"/>
  <c r="DI48"/>
  <c r="DH48"/>
  <c r="DH46" s="1"/>
  <c r="DG48"/>
  <c r="DG46" s="1"/>
  <c r="DD48"/>
  <c r="DC48"/>
  <c r="DB48"/>
  <c r="DB46" s="1"/>
  <c r="DA48"/>
  <c r="DA46" s="1"/>
  <c r="CX48"/>
  <c r="CW48"/>
  <c r="CV48"/>
  <c r="CV46" s="1"/>
  <c r="CU48"/>
  <c r="CU46" s="1"/>
  <c r="CR48"/>
  <c r="CQ48"/>
  <c r="CP48"/>
  <c r="CP46" s="1"/>
  <c r="CO48"/>
  <c r="CO46" s="1"/>
  <c r="CL48"/>
  <c r="CK48"/>
  <c r="CJ48"/>
  <c r="CJ46" s="1"/>
  <c r="CI48"/>
  <c r="CI46" s="1"/>
  <c r="CF48"/>
  <c r="CE48"/>
  <c r="CD48"/>
  <c r="CD46" s="1"/>
  <c r="CC48"/>
  <c r="CC46" s="1"/>
  <c r="BZ48"/>
  <c r="BY48"/>
  <c r="BX48"/>
  <c r="BX46" s="1"/>
  <c r="BW48"/>
  <c r="BW46" s="1"/>
  <c r="BT48"/>
  <c r="BS48"/>
  <c r="BR48"/>
  <c r="BR46" s="1"/>
  <c r="BQ48"/>
  <c r="BQ46" s="1"/>
  <c r="BN48"/>
  <c r="BM48"/>
  <c r="BH48"/>
  <c r="BG48"/>
  <c r="AZ48"/>
  <c r="DT48" s="1"/>
  <c r="AY48"/>
  <c r="DS48" s="1"/>
  <c r="AX48"/>
  <c r="AX46" s="1"/>
  <c r="AW48"/>
  <c r="AV48"/>
  <c r="DL48" s="1"/>
  <c r="AU48"/>
  <c r="DK48" s="1"/>
  <c r="AT48"/>
  <c r="AT46" s="1"/>
  <c r="AS48"/>
  <c r="AR48"/>
  <c r="DF48" s="1"/>
  <c r="AQ48"/>
  <c r="DE48" s="1"/>
  <c r="AP48"/>
  <c r="AP46" s="1"/>
  <c r="AO48"/>
  <c r="AO46" s="1"/>
  <c r="AN48"/>
  <c r="CZ48" s="1"/>
  <c r="AM48"/>
  <c r="CY48" s="1"/>
  <c r="AL48"/>
  <c r="AL46" s="1"/>
  <c r="AK48"/>
  <c r="AK46" s="1"/>
  <c r="AJ48"/>
  <c r="CT48" s="1"/>
  <c r="AI48"/>
  <c r="CS48" s="1"/>
  <c r="AH48"/>
  <c r="AH46" s="1"/>
  <c r="AG48"/>
  <c r="AG46" s="1"/>
  <c r="AF48"/>
  <c r="CN48" s="1"/>
  <c r="AE48"/>
  <c r="CM48" s="1"/>
  <c r="AD48"/>
  <c r="AD46" s="1"/>
  <c r="AC48"/>
  <c r="AB48"/>
  <c r="CH48" s="1"/>
  <c r="AA48"/>
  <c r="CG48" s="1"/>
  <c r="Z48"/>
  <c r="Z46" s="1"/>
  <c r="Y48"/>
  <c r="X48"/>
  <c r="CB48" s="1"/>
  <c r="W48"/>
  <c r="CA48" s="1"/>
  <c r="V48"/>
  <c r="V46" s="1"/>
  <c r="U48"/>
  <c r="T48"/>
  <c r="BV48" s="1"/>
  <c r="S48"/>
  <c r="BU48" s="1"/>
  <c r="R48"/>
  <c r="R46" s="1"/>
  <c r="Q48"/>
  <c r="P48"/>
  <c r="BP48" s="1"/>
  <c r="O48"/>
  <c r="BO48" s="1"/>
  <c r="N48"/>
  <c r="N46" s="1"/>
  <c r="M48"/>
  <c r="J48"/>
  <c r="J46" s="1"/>
  <c r="I48"/>
  <c r="H48"/>
  <c r="G48"/>
  <c r="F48"/>
  <c r="BB48" s="1"/>
  <c r="E48"/>
  <c r="DU48" s="1"/>
  <c r="D48"/>
  <c r="C48"/>
  <c r="DV47"/>
  <c r="DU47"/>
  <c r="DT47"/>
  <c r="DS47"/>
  <c r="DL47"/>
  <c r="DK47"/>
  <c r="DF47"/>
  <c r="DE47"/>
  <c r="CZ47"/>
  <c r="CY47"/>
  <c r="CT47"/>
  <c r="CS47"/>
  <c r="CN47"/>
  <c r="CM47"/>
  <c r="CH47"/>
  <c r="CG47"/>
  <c r="CB47"/>
  <c r="CA47"/>
  <c r="BV47"/>
  <c r="BU47"/>
  <c r="BP47"/>
  <c r="BO47"/>
  <c r="BH47"/>
  <c r="BG47"/>
  <c r="BB47"/>
  <c r="BA47"/>
  <c r="L47"/>
  <c r="BJ47" s="1"/>
  <c r="K47"/>
  <c r="BI47" s="1"/>
  <c r="BL46"/>
  <c r="BK46"/>
  <c r="BF46"/>
  <c r="BE46"/>
  <c r="BD46"/>
  <c r="BC46"/>
  <c r="DV45"/>
  <c r="DU45"/>
  <c r="DT45"/>
  <c r="DS45"/>
  <c r="DL45"/>
  <c r="DK45"/>
  <c r="DF45"/>
  <c r="DE45"/>
  <c r="CZ45"/>
  <c r="CY45"/>
  <c r="CT45"/>
  <c r="CS45"/>
  <c r="CN45"/>
  <c r="CM45"/>
  <c r="CH45"/>
  <c r="CG45"/>
  <c r="CB45"/>
  <c r="CA45"/>
  <c r="BV45"/>
  <c r="BU45"/>
  <c r="BP45"/>
  <c r="BO45"/>
  <c r="BH45"/>
  <c r="BG45"/>
  <c r="BB45"/>
  <c r="BA45"/>
  <c r="L45"/>
  <c r="BJ45" s="1"/>
  <c r="K45"/>
  <c r="BI45" s="1"/>
  <c r="DV44"/>
  <c r="DU44"/>
  <c r="DT44"/>
  <c r="DS44"/>
  <c r="BH44"/>
  <c r="BN44" s="1"/>
  <c r="BT44" s="1"/>
  <c r="BZ44" s="1"/>
  <c r="CF44" s="1"/>
  <c r="CL44" s="1"/>
  <c r="CR44" s="1"/>
  <c r="CX44" s="1"/>
  <c r="DD44" s="1"/>
  <c r="DJ44" s="1"/>
  <c r="BG44"/>
  <c r="BM44" s="1"/>
  <c r="BS44" s="1"/>
  <c r="BY44" s="1"/>
  <c r="CE44" s="1"/>
  <c r="CK44" s="1"/>
  <c r="CQ44" s="1"/>
  <c r="CW44" s="1"/>
  <c r="DC44" s="1"/>
  <c r="DI44" s="1"/>
  <c r="BA44"/>
  <c r="AW44"/>
  <c r="AS44"/>
  <c r="AG44"/>
  <c r="L44"/>
  <c r="P44" s="1"/>
  <c r="K44"/>
  <c r="BI44" s="1"/>
  <c r="F44"/>
  <c r="BB44" s="1"/>
  <c r="D44"/>
  <c r="C44"/>
  <c r="DT43"/>
  <c r="DS43"/>
  <c r="BH43"/>
  <c r="BN43" s="1"/>
  <c r="BT43" s="1"/>
  <c r="BZ43" s="1"/>
  <c r="CF43" s="1"/>
  <c r="CL43" s="1"/>
  <c r="CR43" s="1"/>
  <c r="CX43" s="1"/>
  <c r="DD43" s="1"/>
  <c r="DJ43" s="1"/>
  <c r="BG43"/>
  <c r="BM43" s="1"/>
  <c r="BS43" s="1"/>
  <c r="BY43" s="1"/>
  <c r="CE43" s="1"/>
  <c r="CK43" s="1"/>
  <c r="CQ43" s="1"/>
  <c r="CW43" s="1"/>
  <c r="DC43" s="1"/>
  <c r="DI43" s="1"/>
  <c r="AW43"/>
  <c r="AS43"/>
  <c r="AC43"/>
  <c r="L43"/>
  <c r="P43" s="1"/>
  <c r="K43"/>
  <c r="F43"/>
  <c r="BB43" s="1"/>
  <c r="D43"/>
  <c r="C43"/>
  <c r="DT42"/>
  <c r="DS42"/>
  <c r="BH42"/>
  <c r="BN42" s="1"/>
  <c r="BT42" s="1"/>
  <c r="BZ42" s="1"/>
  <c r="CF42" s="1"/>
  <c r="CL42" s="1"/>
  <c r="CR42" s="1"/>
  <c r="CX42" s="1"/>
  <c r="DD42" s="1"/>
  <c r="DJ42" s="1"/>
  <c r="BG42"/>
  <c r="BM42" s="1"/>
  <c r="BS42" s="1"/>
  <c r="BY42" s="1"/>
  <c r="CE42" s="1"/>
  <c r="CK42" s="1"/>
  <c r="CQ42" s="1"/>
  <c r="CW42" s="1"/>
  <c r="DC42" s="1"/>
  <c r="DI42" s="1"/>
  <c r="L42"/>
  <c r="K42"/>
  <c r="F42"/>
  <c r="BB42" s="1"/>
  <c r="E42"/>
  <c r="D42"/>
  <c r="C42"/>
  <c r="DT41"/>
  <c r="DS41"/>
  <c r="BH41"/>
  <c r="BN41" s="1"/>
  <c r="BT41" s="1"/>
  <c r="BZ41" s="1"/>
  <c r="CF41" s="1"/>
  <c r="CL41" s="1"/>
  <c r="CR41" s="1"/>
  <c r="CX41" s="1"/>
  <c r="DD41" s="1"/>
  <c r="DJ41" s="1"/>
  <c r="BE41"/>
  <c r="BG41" s="1"/>
  <c r="BM41" s="1"/>
  <c r="BS41" s="1"/>
  <c r="BY41" s="1"/>
  <c r="CE41" s="1"/>
  <c r="CK41" s="1"/>
  <c r="CQ41" s="1"/>
  <c r="CW41" s="1"/>
  <c r="DC41" s="1"/>
  <c r="DI41" s="1"/>
  <c r="AW41"/>
  <c r="AS41"/>
  <c r="AS37" s="1"/>
  <c r="L41"/>
  <c r="P41" s="1"/>
  <c r="K41"/>
  <c r="F41"/>
  <c r="BB41" s="1"/>
  <c r="D41"/>
  <c r="C41"/>
  <c r="DV40"/>
  <c r="DU40"/>
  <c r="DT40"/>
  <c r="DS40"/>
  <c r="DL40"/>
  <c r="DK40"/>
  <c r="DF40"/>
  <c r="DE40"/>
  <c r="CZ40"/>
  <c r="CY40"/>
  <c r="CT40"/>
  <c r="CS40"/>
  <c r="CN40"/>
  <c r="CM40"/>
  <c r="CH40"/>
  <c r="CG40"/>
  <c r="CB40"/>
  <c r="CA40"/>
  <c r="BV40"/>
  <c r="BU40"/>
  <c r="BP40"/>
  <c r="BO40"/>
  <c r="BH40"/>
  <c r="BG40"/>
  <c r="BB40"/>
  <c r="BA40"/>
  <c r="L40"/>
  <c r="BJ40" s="1"/>
  <c r="K40"/>
  <c r="BI40" s="1"/>
  <c r="DS39"/>
  <c r="DR39"/>
  <c r="DT39" s="1"/>
  <c r="BH39"/>
  <c r="BN39" s="1"/>
  <c r="BE39"/>
  <c r="BC39"/>
  <c r="L39"/>
  <c r="K39"/>
  <c r="F39"/>
  <c r="BB39" s="1"/>
  <c r="E39"/>
  <c r="D39"/>
  <c r="C39"/>
  <c r="DT38"/>
  <c r="DS38"/>
  <c r="BK38"/>
  <c r="BK37" s="1"/>
  <c r="BH38"/>
  <c r="BN38" s="1"/>
  <c r="BT38" s="1"/>
  <c r="BE38"/>
  <c r="BC38"/>
  <c r="AC38"/>
  <c r="AC37" s="1"/>
  <c r="Y38"/>
  <c r="Y37" s="1"/>
  <c r="U38"/>
  <c r="U37" s="1"/>
  <c r="Q38"/>
  <c r="Q37" s="1"/>
  <c r="M38"/>
  <c r="M37" s="1"/>
  <c r="L38"/>
  <c r="BJ38" s="1"/>
  <c r="I38"/>
  <c r="G38"/>
  <c r="G37" s="1"/>
  <c r="F38"/>
  <c r="D38"/>
  <c r="C38"/>
  <c r="DQ37"/>
  <c r="DP37"/>
  <c r="DO37"/>
  <c r="DN37"/>
  <c r="DM37"/>
  <c r="DH37"/>
  <c r="DG37"/>
  <c r="DB37"/>
  <c r="DA37"/>
  <c r="CV37"/>
  <c r="CU37"/>
  <c r="CP37"/>
  <c r="CO37"/>
  <c r="CJ37"/>
  <c r="CI37"/>
  <c r="CD37"/>
  <c r="CC37"/>
  <c r="BX37"/>
  <c r="BW37"/>
  <c r="BR37"/>
  <c r="BQ37"/>
  <c r="BL37"/>
  <c r="BF37"/>
  <c r="BD37"/>
  <c r="AZ37"/>
  <c r="AY37"/>
  <c r="AX37"/>
  <c r="AT37"/>
  <c r="AP37"/>
  <c r="AO37"/>
  <c r="AL37"/>
  <c r="AK37"/>
  <c r="AH37"/>
  <c r="AG37"/>
  <c r="AD37"/>
  <c r="Z37"/>
  <c r="V37"/>
  <c r="R37"/>
  <c r="N37"/>
  <c r="J37"/>
  <c r="H37"/>
  <c r="DT35"/>
  <c r="DS35"/>
  <c r="BH35"/>
  <c r="BN35" s="1"/>
  <c r="BT35" s="1"/>
  <c r="BZ35" s="1"/>
  <c r="CF35" s="1"/>
  <c r="CL35" s="1"/>
  <c r="CR35" s="1"/>
  <c r="CX35" s="1"/>
  <c r="DD35" s="1"/>
  <c r="DJ35" s="1"/>
  <c r="BG35"/>
  <c r="BM35" s="1"/>
  <c r="BS35" s="1"/>
  <c r="BY35" s="1"/>
  <c r="CE35" s="1"/>
  <c r="CK35" s="1"/>
  <c r="CQ35" s="1"/>
  <c r="CW35" s="1"/>
  <c r="DC35" s="1"/>
  <c r="DI35" s="1"/>
  <c r="AW35"/>
  <c r="AH35"/>
  <c r="AG35"/>
  <c r="L35"/>
  <c r="P35" s="1"/>
  <c r="K35"/>
  <c r="F35"/>
  <c r="BB35" s="1"/>
  <c r="D35"/>
  <c r="C35"/>
  <c r="DT34"/>
  <c r="DS34"/>
  <c r="DR34"/>
  <c r="DQ34"/>
  <c r="BH34"/>
  <c r="BN34" s="1"/>
  <c r="BT34" s="1"/>
  <c r="BZ34" s="1"/>
  <c r="CF34" s="1"/>
  <c r="CL34" s="1"/>
  <c r="CR34" s="1"/>
  <c r="CX34" s="1"/>
  <c r="DD34" s="1"/>
  <c r="DJ34" s="1"/>
  <c r="BG34"/>
  <c r="BM34" s="1"/>
  <c r="BS34" s="1"/>
  <c r="BY34" s="1"/>
  <c r="CE34" s="1"/>
  <c r="CK34" s="1"/>
  <c r="CQ34" s="1"/>
  <c r="CW34" s="1"/>
  <c r="DC34" s="1"/>
  <c r="DI34" s="1"/>
  <c r="AL34"/>
  <c r="AP34" s="1"/>
  <c r="F34" s="1"/>
  <c r="BB34" s="1"/>
  <c r="Y34"/>
  <c r="AG34" s="1"/>
  <c r="L34"/>
  <c r="BJ34" s="1"/>
  <c r="K34"/>
  <c r="BI34" s="1"/>
  <c r="D34"/>
  <c r="C34"/>
  <c r="DT33"/>
  <c r="DS33"/>
  <c r="BH33"/>
  <c r="BN33" s="1"/>
  <c r="BT33" s="1"/>
  <c r="BZ33" s="1"/>
  <c r="CF33" s="1"/>
  <c r="CL33" s="1"/>
  <c r="CR33" s="1"/>
  <c r="CX33" s="1"/>
  <c r="DD33" s="1"/>
  <c r="DJ33" s="1"/>
  <c r="BG33"/>
  <c r="BM33" s="1"/>
  <c r="BS33" s="1"/>
  <c r="BY33" s="1"/>
  <c r="CE33" s="1"/>
  <c r="CK33" s="1"/>
  <c r="CQ33" s="1"/>
  <c r="CW33" s="1"/>
  <c r="DC33" s="1"/>
  <c r="DI33" s="1"/>
  <c r="L33"/>
  <c r="BJ33" s="1"/>
  <c r="K33"/>
  <c r="BI33" s="1"/>
  <c r="F33"/>
  <c r="BB33" s="1"/>
  <c r="E33"/>
  <c r="DV33" s="1"/>
  <c r="DR32"/>
  <c r="DT32" s="1"/>
  <c r="DQ32"/>
  <c r="DS32" s="1"/>
  <c r="BH32"/>
  <c r="BN32" s="1"/>
  <c r="BT32" s="1"/>
  <c r="BZ32" s="1"/>
  <c r="CF32" s="1"/>
  <c r="CL32" s="1"/>
  <c r="CR32" s="1"/>
  <c r="CX32" s="1"/>
  <c r="DD32" s="1"/>
  <c r="DJ32" s="1"/>
  <c r="BG32"/>
  <c r="BM32" s="1"/>
  <c r="BS32" s="1"/>
  <c r="BY32" s="1"/>
  <c r="CE32" s="1"/>
  <c r="CK32" s="1"/>
  <c r="CQ32" s="1"/>
  <c r="CW32" s="1"/>
  <c r="DC32" s="1"/>
  <c r="DI32" s="1"/>
  <c r="AW32"/>
  <c r="AH32"/>
  <c r="U32"/>
  <c r="Y32" s="1"/>
  <c r="L32"/>
  <c r="K32"/>
  <c r="O32" s="1"/>
  <c r="D32"/>
  <c r="C32"/>
  <c r="DR31"/>
  <c r="DQ31"/>
  <c r="DS31" s="1"/>
  <c r="BH31"/>
  <c r="BN31" s="1"/>
  <c r="BT31" s="1"/>
  <c r="BZ31" s="1"/>
  <c r="CF31" s="1"/>
  <c r="CL31" s="1"/>
  <c r="CR31" s="1"/>
  <c r="CX31" s="1"/>
  <c r="DD31" s="1"/>
  <c r="DJ31" s="1"/>
  <c r="BG31"/>
  <c r="BM31" s="1"/>
  <c r="BS31" s="1"/>
  <c r="BY31" s="1"/>
  <c r="CE31" s="1"/>
  <c r="CK31" s="1"/>
  <c r="CQ31" s="1"/>
  <c r="CW31" s="1"/>
  <c r="DC31" s="1"/>
  <c r="DI31" s="1"/>
  <c r="L31"/>
  <c r="BJ31" s="1"/>
  <c r="K31"/>
  <c r="BI31" s="1"/>
  <c r="F31"/>
  <c r="BB31" s="1"/>
  <c r="E31"/>
  <c r="D31"/>
  <c r="C31"/>
  <c r="DR30"/>
  <c r="DT30" s="1"/>
  <c r="DQ30"/>
  <c r="DS30" s="1"/>
  <c r="BH30"/>
  <c r="BN30" s="1"/>
  <c r="BT30" s="1"/>
  <c r="BZ30" s="1"/>
  <c r="CF30" s="1"/>
  <c r="CL30" s="1"/>
  <c r="CR30" s="1"/>
  <c r="CX30" s="1"/>
  <c r="DD30" s="1"/>
  <c r="DJ30" s="1"/>
  <c r="BG30"/>
  <c r="BM30" s="1"/>
  <c r="BS30" s="1"/>
  <c r="BY30" s="1"/>
  <c r="CE30" s="1"/>
  <c r="CK30" s="1"/>
  <c r="CQ30" s="1"/>
  <c r="CW30" s="1"/>
  <c r="DC30" s="1"/>
  <c r="DI30" s="1"/>
  <c r="AH30"/>
  <c r="Q30"/>
  <c r="L30"/>
  <c r="P30" s="1"/>
  <c r="K30"/>
  <c r="BI30" s="1"/>
  <c r="D30"/>
  <c r="C30"/>
  <c r="DR29"/>
  <c r="DT29" s="1"/>
  <c r="DQ29"/>
  <c r="DS29" s="1"/>
  <c r="BH29"/>
  <c r="BN29" s="1"/>
  <c r="BT29" s="1"/>
  <c r="BZ29" s="1"/>
  <c r="CF29" s="1"/>
  <c r="CL29" s="1"/>
  <c r="CR29" s="1"/>
  <c r="CX29" s="1"/>
  <c r="DD29" s="1"/>
  <c r="DJ29" s="1"/>
  <c r="BG29"/>
  <c r="BM29" s="1"/>
  <c r="BS29" s="1"/>
  <c r="BY29" s="1"/>
  <c r="CE29" s="1"/>
  <c r="CK29" s="1"/>
  <c r="CQ29" s="1"/>
  <c r="CW29" s="1"/>
  <c r="DC29" s="1"/>
  <c r="DI29" s="1"/>
  <c r="L29"/>
  <c r="K29"/>
  <c r="F29"/>
  <c r="BB29" s="1"/>
  <c r="E29"/>
  <c r="D29"/>
  <c r="C29"/>
  <c r="DR28"/>
  <c r="DT28" s="1"/>
  <c r="DQ28"/>
  <c r="BH28"/>
  <c r="BN28" s="1"/>
  <c r="BT28" s="1"/>
  <c r="BZ28" s="1"/>
  <c r="CF28" s="1"/>
  <c r="CL28" s="1"/>
  <c r="CR28" s="1"/>
  <c r="CX28" s="1"/>
  <c r="DD28" s="1"/>
  <c r="DJ28" s="1"/>
  <c r="BG28"/>
  <c r="AH28"/>
  <c r="AH26" s="1"/>
  <c r="L28"/>
  <c r="I28"/>
  <c r="D28"/>
  <c r="C28"/>
  <c r="DR27"/>
  <c r="DT27" s="1"/>
  <c r="DQ27"/>
  <c r="DS27" s="1"/>
  <c r="BH27"/>
  <c r="BN27" s="1"/>
  <c r="BG27"/>
  <c r="BM27" s="1"/>
  <c r="L27"/>
  <c r="BJ27" s="1"/>
  <c r="K27"/>
  <c r="BI27" s="1"/>
  <c r="F27"/>
  <c r="BB27" s="1"/>
  <c r="E27"/>
  <c r="DU27" s="1"/>
  <c r="D27"/>
  <c r="C27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AY26"/>
  <c r="AX26"/>
  <c r="AT26"/>
  <c r="AS26"/>
  <c r="AD26"/>
  <c r="AC26"/>
  <c r="Z26"/>
  <c r="V26"/>
  <c r="R26"/>
  <c r="N26"/>
  <c r="J26"/>
  <c r="H26"/>
  <c r="G26"/>
  <c r="DT25"/>
  <c r="DS25"/>
  <c r="BL25"/>
  <c r="BL9" s="1"/>
  <c r="BH25"/>
  <c r="BG25"/>
  <c r="BM25" s="1"/>
  <c r="BS25" s="1"/>
  <c r="BY25" s="1"/>
  <c r="CE25" s="1"/>
  <c r="CK25" s="1"/>
  <c r="CQ25" s="1"/>
  <c r="CW25" s="1"/>
  <c r="DC25" s="1"/>
  <c r="DI25" s="1"/>
  <c r="AW25"/>
  <c r="AH25"/>
  <c r="AC25"/>
  <c r="L25"/>
  <c r="I25"/>
  <c r="D25"/>
  <c r="C25"/>
  <c r="DT24"/>
  <c r="DS24"/>
  <c r="BH24"/>
  <c r="BN24" s="1"/>
  <c r="BT24" s="1"/>
  <c r="BZ24" s="1"/>
  <c r="CF24" s="1"/>
  <c r="CL24" s="1"/>
  <c r="CR24" s="1"/>
  <c r="CX24" s="1"/>
  <c r="DD24" s="1"/>
  <c r="DJ24" s="1"/>
  <c r="BG24"/>
  <c r="BM24" s="1"/>
  <c r="BS24" s="1"/>
  <c r="BY24" s="1"/>
  <c r="CE24" s="1"/>
  <c r="CK24" s="1"/>
  <c r="CQ24" s="1"/>
  <c r="CW24" s="1"/>
  <c r="DC24" s="1"/>
  <c r="DI24" s="1"/>
  <c r="AW24"/>
  <c r="AH24"/>
  <c r="L24"/>
  <c r="P24" s="1"/>
  <c r="T24" s="1"/>
  <c r="I24"/>
  <c r="M24" s="1"/>
  <c r="D24"/>
  <c r="C24"/>
  <c r="DV23"/>
  <c r="DU23"/>
  <c r="DT23"/>
  <c r="DS23"/>
  <c r="BH23"/>
  <c r="BN23" s="1"/>
  <c r="BT23" s="1"/>
  <c r="BZ23" s="1"/>
  <c r="CF23" s="1"/>
  <c r="CL23" s="1"/>
  <c r="CR23" s="1"/>
  <c r="CX23" s="1"/>
  <c r="DD23" s="1"/>
  <c r="DJ23" s="1"/>
  <c r="BG23"/>
  <c r="BM23" s="1"/>
  <c r="BS23" s="1"/>
  <c r="BY23" s="1"/>
  <c r="CE23" s="1"/>
  <c r="CK23" s="1"/>
  <c r="CQ23" s="1"/>
  <c r="CW23" s="1"/>
  <c r="DC23" s="1"/>
  <c r="DI23" s="1"/>
  <c r="BB23"/>
  <c r="BA23"/>
  <c r="L23"/>
  <c r="BJ23" s="1"/>
  <c r="K23"/>
  <c r="BI23" s="1"/>
  <c r="DT22"/>
  <c r="DS22"/>
  <c r="BH22"/>
  <c r="BN22" s="1"/>
  <c r="BT22" s="1"/>
  <c r="BZ22" s="1"/>
  <c r="CF22" s="1"/>
  <c r="CL22" s="1"/>
  <c r="CR22" s="1"/>
  <c r="CX22" s="1"/>
  <c r="DD22" s="1"/>
  <c r="DJ22" s="1"/>
  <c r="BG22"/>
  <c r="BM22" s="1"/>
  <c r="BS22" s="1"/>
  <c r="BY22" s="1"/>
  <c r="CE22" s="1"/>
  <c r="CK22" s="1"/>
  <c r="CQ22" s="1"/>
  <c r="CW22" s="1"/>
  <c r="DC22" s="1"/>
  <c r="DI22" s="1"/>
  <c r="AW22"/>
  <c r="AH22"/>
  <c r="L22"/>
  <c r="I22"/>
  <c r="D22"/>
  <c r="C22"/>
  <c r="DT21"/>
  <c r="DS21"/>
  <c r="BH21"/>
  <c r="BN21" s="1"/>
  <c r="BT21" s="1"/>
  <c r="BZ21" s="1"/>
  <c r="CF21" s="1"/>
  <c r="CL21" s="1"/>
  <c r="CR21" s="1"/>
  <c r="CX21" s="1"/>
  <c r="DD21" s="1"/>
  <c r="DJ21" s="1"/>
  <c r="BG21"/>
  <c r="BM21" s="1"/>
  <c r="BS21" s="1"/>
  <c r="BY21" s="1"/>
  <c r="CE21" s="1"/>
  <c r="CK21" s="1"/>
  <c r="CQ21" s="1"/>
  <c r="CW21" s="1"/>
  <c r="DC21" s="1"/>
  <c r="DI21" s="1"/>
  <c r="AW21"/>
  <c r="AH21"/>
  <c r="L21"/>
  <c r="BJ21" s="1"/>
  <c r="I21"/>
  <c r="D21"/>
  <c r="C21"/>
  <c r="DT20"/>
  <c r="DS20"/>
  <c r="BH20"/>
  <c r="BN20" s="1"/>
  <c r="BT20" s="1"/>
  <c r="BZ20" s="1"/>
  <c r="CF20" s="1"/>
  <c r="CL20" s="1"/>
  <c r="CR20" s="1"/>
  <c r="CX20" s="1"/>
  <c r="DD20" s="1"/>
  <c r="DJ20" s="1"/>
  <c r="BG20"/>
  <c r="BM20" s="1"/>
  <c r="BS20" s="1"/>
  <c r="BY20" s="1"/>
  <c r="CE20" s="1"/>
  <c r="CK20" s="1"/>
  <c r="CQ20" s="1"/>
  <c r="CW20" s="1"/>
  <c r="DC20" s="1"/>
  <c r="DI20" s="1"/>
  <c r="AW20"/>
  <c r="AH20"/>
  <c r="AP20" s="1"/>
  <c r="F20" s="1"/>
  <c r="BB20" s="1"/>
  <c r="L20"/>
  <c r="P20" s="1"/>
  <c r="I20"/>
  <c r="K20" s="1"/>
  <c r="BI20" s="1"/>
  <c r="D20"/>
  <c r="C20"/>
  <c r="DT19"/>
  <c r="BH19"/>
  <c r="BN19" s="1"/>
  <c r="BT19" s="1"/>
  <c r="BZ19" s="1"/>
  <c r="CF19" s="1"/>
  <c r="CL19" s="1"/>
  <c r="CR19" s="1"/>
  <c r="CX19" s="1"/>
  <c r="DD19" s="1"/>
  <c r="DJ19" s="1"/>
  <c r="BG19"/>
  <c r="BM19" s="1"/>
  <c r="BS19" s="1"/>
  <c r="BY19" s="1"/>
  <c r="CE19" s="1"/>
  <c r="CK19" s="1"/>
  <c r="CQ19" s="1"/>
  <c r="CW19" s="1"/>
  <c r="DC19" s="1"/>
  <c r="DI19" s="1"/>
  <c r="AY19"/>
  <c r="AW19"/>
  <c r="AH19"/>
  <c r="AC19"/>
  <c r="L19"/>
  <c r="I19"/>
  <c r="K19" s="1"/>
  <c r="D19"/>
  <c r="C19"/>
  <c r="DT18"/>
  <c r="DS18"/>
  <c r="BK18"/>
  <c r="BK81" s="1"/>
  <c r="BK80" s="1"/>
  <c r="BH18"/>
  <c r="BN18" s="1"/>
  <c r="BT18" s="1"/>
  <c r="BZ18" s="1"/>
  <c r="CF18" s="1"/>
  <c r="CL18" s="1"/>
  <c r="CR18" s="1"/>
  <c r="CX18" s="1"/>
  <c r="DD18" s="1"/>
  <c r="DJ18" s="1"/>
  <c r="BG18"/>
  <c r="AW18"/>
  <c r="AW81" s="1"/>
  <c r="AH18"/>
  <c r="L18"/>
  <c r="I18"/>
  <c r="D18"/>
  <c r="C18"/>
  <c r="DT17"/>
  <c r="DS17"/>
  <c r="BH17"/>
  <c r="BN17" s="1"/>
  <c r="BT17" s="1"/>
  <c r="BZ17" s="1"/>
  <c r="CF17" s="1"/>
  <c r="CL17" s="1"/>
  <c r="CR17" s="1"/>
  <c r="CX17" s="1"/>
  <c r="DD17" s="1"/>
  <c r="DJ17" s="1"/>
  <c r="BG17"/>
  <c r="BM17" s="1"/>
  <c r="BS17" s="1"/>
  <c r="BY17" s="1"/>
  <c r="CE17" s="1"/>
  <c r="CK17" s="1"/>
  <c r="CQ17" s="1"/>
  <c r="CW17" s="1"/>
  <c r="DC17" s="1"/>
  <c r="DI17" s="1"/>
  <c r="AW17"/>
  <c r="AH17"/>
  <c r="L17"/>
  <c r="I17"/>
  <c r="D17"/>
  <c r="C17"/>
  <c r="DT16"/>
  <c r="DS16"/>
  <c r="BH16"/>
  <c r="BN16" s="1"/>
  <c r="BT16" s="1"/>
  <c r="BZ16" s="1"/>
  <c r="CF16" s="1"/>
  <c r="CL16" s="1"/>
  <c r="CR16" s="1"/>
  <c r="CX16" s="1"/>
  <c r="DD16" s="1"/>
  <c r="DJ16" s="1"/>
  <c r="BG16"/>
  <c r="BM16" s="1"/>
  <c r="BS16" s="1"/>
  <c r="BY16" s="1"/>
  <c r="CE16" s="1"/>
  <c r="CK16" s="1"/>
  <c r="CQ16" s="1"/>
  <c r="CW16" s="1"/>
  <c r="DC16" s="1"/>
  <c r="DI16" s="1"/>
  <c r="AW16"/>
  <c r="AH16"/>
  <c r="Q16"/>
  <c r="L16"/>
  <c r="K16"/>
  <c r="D16"/>
  <c r="C16"/>
  <c r="DS15"/>
  <c r="BK15"/>
  <c r="BG15"/>
  <c r="AW15"/>
  <c r="AC15"/>
  <c r="I15"/>
  <c r="C15"/>
  <c r="DS14"/>
  <c r="BK14"/>
  <c r="BG14"/>
  <c r="I14"/>
  <c r="C14"/>
  <c r="DT13"/>
  <c r="DS13"/>
  <c r="BK13"/>
  <c r="BH13"/>
  <c r="BN13" s="1"/>
  <c r="BT13" s="1"/>
  <c r="BZ13" s="1"/>
  <c r="CF13" s="1"/>
  <c r="CL13" s="1"/>
  <c r="CR13" s="1"/>
  <c r="CX13" s="1"/>
  <c r="DD13" s="1"/>
  <c r="DJ13" s="1"/>
  <c r="BG13"/>
  <c r="AH13"/>
  <c r="L13"/>
  <c r="I13"/>
  <c r="K13" s="1"/>
  <c r="D13"/>
  <c r="C13"/>
  <c r="DT12"/>
  <c r="DS12"/>
  <c r="BH12"/>
  <c r="BN12" s="1"/>
  <c r="BT12" s="1"/>
  <c r="BZ12" s="1"/>
  <c r="CF12" s="1"/>
  <c r="CL12" s="1"/>
  <c r="CR12" s="1"/>
  <c r="CX12" s="1"/>
  <c r="DD12" s="1"/>
  <c r="DJ12" s="1"/>
  <c r="BG12"/>
  <c r="BM12" s="1"/>
  <c r="BS12" s="1"/>
  <c r="BY12" s="1"/>
  <c r="CE12" s="1"/>
  <c r="CK12" s="1"/>
  <c r="CQ12" s="1"/>
  <c r="CW12" s="1"/>
  <c r="DC12" s="1"/>
  <c r="DI12" s="1"/>
  <c r="AH12"/>
  <c r="L12"/>
  <c r="I12"/>
  <c r="D12"/>
  <c r="C12"/>
  <c r="DQ11"/>
  <c r="DR11" s="1"/>
  <c r="DO11"/>
  <c r="DP11" s="1"/>
  <c r="DM11"/>
  <c r="DN11" s="1"/>
  <c r="DG11"/>
  <c r="DH11" s="1"/>
  <c r="DA11"/>
  <c r="DB11" s="1"/>
  <c r="CU11"/>
  <c r="CV11" s="1"/>
  <c r="CO11"/>
  <c r="CP11" s="1"/>
  <c r="CI11"/>
  <c r="CJ11" s="1"/>
  <c r="CC11"/>
  <c r="CD11" s="1"/>
  <c r="BW11"/>
  <c r="BX11" s="1"/>
  <c r="BQ11"/>
  <c r="BR11" s="1"/>
  <c r="BE11"/>
  <c r="BF11" s="1"/>
  <c r="BC11"/>
  <c r="BD11" s="1"/>
  <c r="AY11"/>
  <c r="L11"/>
  <c r="BJ11" s="1"/>
  <c r="K11"/>
  <c r="BI11" s="1"/>
  <c r="F11"/>
  <c r="BB11" s="1"/>
  <c r="E11"/>
  <c r="D11"/>
  <c r="C11"/>
  <c r="DT10"/>
  <c r="DS10"/>
  <c r="BK10"/>
  <c r="BK11" s="1"/>
  <c r="BL11" s="1"/>
  <c r="BH10"/>
  <c r="BN10" s="1"/>
  <c r="BG10"/>
  <c r="AW10"/>
  <c r="AH10"/>
  <c r="L10"/>
  <c r="I10"/>
  <c r="D10"/>
  <c r="C10"/>
  <c r="DR9"/>
  <c r="DQ9"/>
  <c r="DP9"/>
  <c r="DO9"/>
  <c r="DO8" s="1"/>
  <c r="DN9"/>
  <c r="DM9"/>
  <c r="DH9"/>
  <c r="DG9"/>
  <c r="DG8" s="1"/>
  <c r="DB9"/>
  <c r="DA9"/>
  <c r="CV9"/>
  <c r="CU9"/>
  <c r="CU8" s="1"/>
  <c r="CP9"/>
  <c r="CO9"/>
  <c r="CJ9"/>
  <c r="CI9"/>
  <c r="CI8" s="1"/>
  <c r="CD9"/>
  <c r="CC9"/>
  <c r="BX9"/>
  <c r="BW9"/>
  <c r="BW8" s="1"/>
  <c r="BR9"/>
  <c r="BQ9"/>
  <c r="BF9"/>
  <c r="BE9"/>
  <c r="BD9"/>
  <c r="BC9"/>
  <c r="AZ9"/>
  <c r="AX9"/>
  <c r="AT9"/>
  <c r="AS9"/>
  <c r="AD9"/>
  <c r="Z9"/>
  <c r="V9"/>
  <c r="R9"/>
  <c r="N9"/>
  <c r="J9"/>
  <c r="H9"/>
  <c r="G9"/>
  <c r="BN7"/>
  <c r="BR7" s="1"/>
  <c r="BT7" s="1"/>
  <c r="BM7"/>
  <c r="BQ7" s="1"/>
  <c r="BS7" s="1"/>
  <c r="BH7"/>
  <c r="BJ7" s="1"/>
  <c r="BG7"/>
  <c r="BI7" s="1"/>
  <c r="AY7"/>
  <c r="BA7" s="1"/>
  <c r="H7"/>
  <c r="J7" s="1"/>
  <c r="L7" s="1"/>
  <c r="N7" s="1"/>
  <c r="P7" s="1"/>
  <c r="R7" s="1"/>
  <c r="T7" s="1"/>
  <c r="V7" s="1"/>
  <c r="X7" s="1"/>
  <c r="Z7" s="1"/>
  <c r="AB7" s="1"/>
  <c r="AD7" s="1"/>
  <c r="AF7" s="1"/>
  <c r="AH7" s="1"/>
  <c r="AJ7" s="1"/>
  <c r="AL7" s="1"/>
  <c r="AN7" s="1"/>
  <c r="AP7" s="1"/>
  <c r="AR7" s="1"/>
  <c r="AT7" s="1"/>
  <c r="AV7" s="1"/>
  <c r="AX7" s="1"/>
  <c r="G7"/>
  <c r="I7" s="1"/>
  <c r="K7" s="1"/>
  <c r="M7" s="1"/>
  <c r="O7" s="1"/>
  <c r="Q7" s="1"/>
  <c r="S7" s="1"/>
  <c r="U7" s="1"/>
  <c r="W7" s="1"/>
  <c r="Y7" s="1"/>
  <c r="AA7" s="1"/>
  <c r="AC7" s="1"/>
  <c r="AE7" s="1"/>
  <c r="AG7" s="1"/>
  <c r="AI7" s="1"/>
  <c r="AK7" s="1"/>
  <c r="AM7" s="1"/>
  <c r="AO7" s="1"/>
  <c r="AQ7" s="1"/>
  <c r="AS7" s="1"/>
  <c r="AU7" s="1"/>
  <c r="AW7" s="1"/>
  <c r="AD8" l="1"/>
  <c r="S10" i="11"/>
  <c r="S9" s="1"/>
  <c r="D73" i="5"/>
  <c r="AT8"/>
  <c r="BJ18"/>
  <c r="AK76" i="11"/>
  <c r="BV80"/>
  <c r="AB103"/>
  <c r="CH103" s="1"/>
  <c r="BU80"/>
  <c r="T78"/>
  <c r="BV78" s="1"/>
  <c r="O9"/>
  <c r="Y76"/>
  <c r="BI13" i="5"/>
  <c r="AS8"/>
  <c r="AY87" i="11"/>
  <c r="L74"/>
  <c r="L75" s="1"/>
  <c r="K74"/>
  <c r="AL76"/>
  <c r="BU23"/>
  <c r="BM74"/>
  <c r="M13" i="5"/>
  <c r="BL8"/>
  <c r="BX8"/>
  <c r="CJ8"/>
  <c r="CV8"/>
  <c r="DH8"/>
  <c r="DP8"/>
  <c r="W97" i="11"/>
  <c r="AA97" s="1"/>
  <c r="BB91"/>
  <c r="N8" i="5"/>
  <c r="G101" i="8"/>
  <c r="AF101" s="1"/>
  <c r="BJ22" i="5"/>
  <c r="DS37" i="11"/>
  <c r="BV18"/>
  <c r="H74"/>
  <c r="D80" i="5"/>
  <c r="AZ74" i="11"/>
  <c r="DT37"/>
  <c r="P9"/>
  <c r="P74" s="1"/>
  <c r="J8" i="5"/>
  <c r="Z8"/>
  <c r="BK36"/>
  <c r="BL80"/>
  <c r="BE8"/>
  <c r="BP91"/>
  <c r="H9" i="9"/>
  <c r="P9"/>
  <c r="X9"/>
  <c r="AD9"/>
  <c r="O37" i="11"/>
  <c r="BO37" s="1"/>
  <c r="W80"/>
  <c r="BJ17" i="5"/>
  <c r="BD8"/>
  <c r="D37"/>
  <c r="K87" i="11"/>
  <c r="BI87" s="1"/>
  <c r="L37" i="5"/>
  <c r="C70"/>
  <c r="CO8"/>
  <c r="R8"/>
  <c r="BC98"/>
  <c r="BE98" s="1"/>
  <c r="BO92"/>
  <c r="DV95"/>
  <c r="E9" i="9"/>
  <c r="L9"/>
  <c r="T9"/>
  <c r="AA9"/>
  <c r="AA118" s="1"/>
  <c r="R9"/>
  <c r="Q80" i="5"/>
  <c r="AG80"/>
  <c r="BJ90"/>
  <c r="G75" i="11"/>
  <c r="G76"/>
  <c r="DA8" i="5"/>
  <c r="AC9"/>
  <c r="AC8" s="1"/>
  <c r="G8"/>
  <c r="BC8"/>
  <c r="D9"/>
  <c r="D99" s="1"/>
  <c r="BI16"/>
  <c r="D26"/>
  <c r="BD36"/>
  <c r="BD76" s="1"/>
  <c r="BD66" s="1"/>
  <c r="BJ52"/>
  <c r="AB110" i="11"/>
  <c r="AF110" s="1"/>
  <c r="AA107"/>
  <c r="CG107" s="1"/>
  <c r="F74"/>
  <c r="F75" s="1"/>
  <c r="BB37"/>
  <c r="D75"/>
  <c r="D76"/>
  <c r="BX36" i="5"/>
  <c r="BH37"/>
  <c r="AO71"/>
  <c r="AO70" s="1"/>
  <c r="D70"/>
  <c r="AG9" i="8"/>
  <c r="BQ8" i="5"/>
  <c r="DM8"/>
  <c r="BF36"/>
  <c r="L67"/>
  <c r="F87" i="11"/>
  <c r="F77" s="1"/>
  <c r="C67" i="5"/>
  <c r="DJ67"/>
  <c r="BJ72"/>
  <c r="AC37" i="8"/>
  <c r="AG70" i="5"/>
  <c r="BJ25"/>
  <c r="C37"/>
  <c r="BH67"/>
  <c r="L70"/>
  <c r="BJ70" s="1"/>
  <c r="BW36"/>
  <c r="BW76" s="1"/>
  <c r="BW66" s="1"/>
  <c r="CI36"/>
  <c r="CI76" s="1"/>
  <c r="CI66" s="1"/>
  <c r="CU36"/>
  <c r="DG36"/>
  <c r="DG63" s="1"/>
  <c r="BM10"/>
  <c r="BN25"/>
  <c r="BT25" s="1"/>
  <c r="BZ25" s="1"/>
  <c r="CF25" s="1"/>
  <c r="CL25" s="1"/>
  <c r="CR25" s="1"/>
  <c r="CX25" s="1"/>
  <c r="DD25" s="1"/>
  <c r="DJ25" s="1"/>
  <c r="CC8"/>
  <c r="DV31"/>
  <c r="BJ32"/>
  <c r="BI35"/>
  <c r="AO36"/>
  <c r="DR37"/>
  <c r="DT37" s="1"/>
  <c r="BG39"/>
  <c r="BM39" s="1"/>
  <c r="BS39" s="1"/>
  <c r="BY39" s="1"/>
  <c r="CE39" s="1"/>
  <c r="CK39" s="1"/>
  <c r="CQ39" s="1"/>
  <c r="CW39" s="1"/>
  <c r="DC39" s="1"/>
  <c r="DI39" s="1"/>
  <c r="BI42"/>
  <c r="BL36"/>
  <c r="CJ36"/>
  <c r="CJ63" s="1"/>
  <c r="CV36"/>
  <c r="CV63" s="1"/>
  <c r="DH36"/>
  <c r="DH63" s="1"/>
  <c r="DR46"/>
  <c r="DP36"/>
  <c r="BN67"/>
  <c r="C80"/>
  <c r="L87"/>
  <c r="AW9"/>
  <c r="I9"/>
  <c r="AH9"/>
  <c r="AH8" s="1"/>
  <c r="BI19"/>
  <c r="E41"/>
  <c r="DU41" s="1"/>
  <c r="AC46"/>
  <c r="AC36" s="1"/>
  <c r="CF67"/>
  <c r="CX67"/>
  <c r="BO91"/>
  <c r="AK36"/>
  <c r="AT36"/>
  <c r="AT76" s="1"/>
  <c r="AT66" s="1"/>
  <c r="CL67"/>
  <c r="DD67"/>
  <c r="L73"/>
  <c r="BJ73" s="1"/>
  <c r="H9" i="8"/>
  <c r="P9"/>
  <c r="X9"/>
  <c r="AD9"/>
  <c r="AP9"/>
  <c r="BB9"/>
  <c r="BJ9"/>
  <c r="AA47"/>
  <c r="BK47" s="1"/>
  <c r="AC114"/>
  <c r="BG114" s="1"/>
  <c r="C75" i="11"/>
  <c r="C76"/>
  <c r="DU47"/>
  <c r="Z36" i="5"/>
  <c r="Z76" s="1"/>
  <c r="Z66" s="1"/>
  <c r="E38"/>
  <c r="DV73"/>
  <c r="DT81"/>
  <c r="AJ9" i="8"/>
  <c r="T37"/>
  <c r="K24" i="5"/>
  <c r="BI24" s="1"/>
  <c r="BJ28"/>
  <c r="DV29"/>
  <c r="DR98"/>
  <c r="DT98" s="1"/>
  <c r="DV70"/>
  <c r="DU73"/>
  <c r="E9" i="8"/>
  <c r="T9"/>
  <c r="T74" s="1"/>
  <c r="T75" s="1"/>
  <c r="BH9"/>
  <c r="BI37"/>
  <c r="BR8" i="5"/>
  <c r="CD8"/>
  <c r="CP8"/>
  <c r="DB8"/>
  <c r="DN8"/>
  <c r="C9"/>
  <c r="C99" s="1"/>
  <c r="BM13"/>
  <c r="BS13" s="1"/>
  <c r="BY13" s="1"/>
  <c r="CE13" s="1"/>
  <c r="CK13" s="1"/>
  <c r="CQ13" s="1"/>
  <c r="CW13" s="1"/>
  <c r="DC13" s="1"/>
  <c r="DI13" s="1"/>
  <c r="BJ19"/>
  <c r="BJ24"/>
  <c r="DU31"/>
  <c r="BH46"/>
  <c r="BR36"/>
  <c r="CD36"/>
  <c r="CP36"/>
  <c r="DB36"/>
  <c r="DN36"/>
  <c r="E52"/>
  <c r="DV52" s="1"/>
  <c r="Q46"/>
  <c r="Q36" s="1"/>
  <c r="AW46"/>
  <c r="F67"/>
  <c r="BB67" s="1"/>
  <c r="J98"/>
  <c r="L98" s="1"/>
  <c r="BZ67"/>
  <c r="AK69"/>
  <c r="E69" s="1"/>
  <c r="DU69" s="1"/>
  <c r="BH70"/>
  <c r="F73"/>
  <c r="BB73" s="1"/>
  <c r="AZ80"/>
  <c r="DT80" s="1"/>
  <c r="BG87"/>
  <c r="BM87" s="1"/>
  <c r="BS87" s="1"/>
  <c r="BY87" s="1"/>
  <c r="CE87" s="1"/>
  <c r="CK87" s="1"/>
  <c r="CQ87" s="1"/>
  <c r="CW87" s="1"/>
  <c r="DC87" s="1"/>
  <c r="DI87" s="1"/>
  <c r="C37" i="10"/>
  <c r="BN87" i="11"/>
  <c r="BN77" s="1"/>
  <c r="AS75"/>
  <c r="AS76"/>
  <c r="BK9" i="5"/>
  <c r="BK8" s="1"/>
  <c r="BJ30"/>
  <c r="DO36"/>
  <c r="DO76" s="1"/>
  <c r="DO66" s="1"/>
  <c r="BI41"/>
  <c r="AY46"/>
  <c r="DS46" s="1"/>
  <c r="K73"/>
  <c r="DT87"/>
  <c r="L9" i="8"/>
  <c r="AA9"/>
  <c r="AV9"/>
  <c r="H8" i="5"/>
  <c r="V8"/>
  <c r="AZ8"/>
  <c r="BF8"/>
  <c r="AX8"/>
  <c r="E35"/>
  <c r="DU35" s="1"/>
  <c r="AG36"/>
  <c r="AW37"/>
  <c r="BQ36"/>
  <c r="BQ76" s="1"/>
  <c r="BQ66" s="1"/>
  <c r="CC36"/>
  <c r="CO36"/>
  <c r="DA36"/>
  <c r="DM36"/>
  <c r="DM63" s="1"/>
  <c r="DQ36"/>
  <c r="D46"/>
  <c r="N36"/>
  <c r="AD36"/>
  <c r="AD63" s="1"/>
  <c r="AD64" s="1"/>
  <c r="AH36"/>
  <c r="AL36"/>
  <c r="AP36"/>
  <c r="AX36"/>
  <c r="AX76" s="1"/>
  <c r="AX66" s="1"/>
  <c r="BJ55"/>
  <c r="E57"/>
  <c r="DV57" s="1"/>
  <c r="K67"/>
  <c r="BT67"/>
  <c r="D67"/>
  <c r="F70"/>
  <c r="BB70" s="1"/>
  <c r="DS73"/>
  <c r="U80"/>
  <c r="AK80"/>
  <c r="AX80"/>
  <c r="BH81"/>
  <c r="Y80"/>
  <c r="AO80"/>
  <c r="K87"/>
  <c r="J9" i="8"/>
  <c r="R9"/>
  <c r="Z9"/>
  <c r="D94"/>
  <c r="BL94" s="1"/>
  <c r="BI9" i="10"/>
  <c r="BM87" i="11"/>
  <c r="BM77" s="1"/>
  <c r="BI12" i="8"/>
  <c r="DO12" i="11" s="1"/>
  <c r="BH12" i="8"/>
  <c r="DM12" i="11" s="1"/>
  <c r="BJ10" i="5"/>
  <c r="L9"/>
  <c r="L26"/>
  <c r="DR26"/>
  <c r="DT26" s="1"/>
  <c r="V36"/>
  <c r="BB38"/>
  <c r="F37"/>
  <c r="F46"/>
  <c r="L48"/>
  <c r="BJ48" s="1"/>
  <c r="BD80"/>
  <c r="F81"/>
  <c r="K83"/>
  <c r="O83" s="1"/>
  <c r="DS83"/>
  <c r="AY80"/>
  <c r="DS80" s="1"/>
  <c r="BH87"/>
  <c r="BN87" s="1"/>
  <c r="BT87" s="1"/>
  <c r="BZ87" s="1"/>
  <c r="CF87" s="1"/>
  <c r="CL87" s="1"/>
  <c r="CR87" s="1"/>
  <c r="CX87" s="1"/>
  <c r="DD87" s="1"/>
  <c r="DJ87" s="1"/>
  <c r="DV89"/>
  <c r="BA89"/>
  <c r="BP92"/>
  <c r="T92"/>
  <c r="BV92" s="1"/>
  <c r="DV93"/>
  <c r="BP96"/>
  <c r="T96"/>
  <c r="BV96" s="1"/>
  <c r="BM14"/>
  <c r="BS14" s="1"/>
  <c r="BY14" s="1"/>
  <c r="CE14" s="1"/>
  <c r="CK14" s="1"/>
  <c r="CQ14" s="1"/>
  <c r="CW14" s="1"/>
  <c r="DC14" s="1"/>
  <c r="DI14" s="1"/>
  <c r="BG9"/>
  <c r="K25"/>
  <c r="BI25" s="1"/>
  <c r="M25"/>
  <c r="Q25" s="1"/>
  <c r="BH26"/>
  <c r="M28"/>
  <c r="M26" s="1"/>
  <c r="I26"/>
  <c r="I8" s="1"/>
  <c r="K28"/>
  <c r="BI28" s="1"/>
  <c r="BM28"/>
  <c r="BS28" s="1"/>
  <c r="BY28" s="1"/>
  <c r="CE28" s="1"/>
  <c r="CK28" s="1"/>
  <c r="CQ28" s="1"/>
  <c r="CW28" s="1"/>
  <c r="DC28" s="1"/>
  <c r="DI28" s="1"/>
  <c r="BG26"/>
  <c r="BI29"/>
  <c r="DV39"/>
  <c r="DU39"/>
  <c r="H46"/>
  <c r="AZ46"/>
  <c r="BJ54"/>
  <c r="Y46"/>
  <c r="Y36" s="1"/>
  <c r="M46"/>
  <c r="M36" s="1"/>
  <c r="BM55"/>
  <c r="BS55" s="1"/>
  <c r="BY55" s="1"/>
  <c r="CE55" s="1"/>
  <c r="CK55" s="1"/>
  <c r="CQ55" s="1"/>
  <c r="CW55" s="1"/>
  <c r="DC55" s="1"/>
  <c r="DI55" s="1"/>
  <c r="BG46"/>
  <c r="BJ68"/>
  <c r="P68"/>
  <c r="BP68" s="1"/>
  <c r="AK70"/>
  <c r="BM71"/>
  <c r="BM70" s="1"/>
  <c r="BG70"/>
  <c r="BI72"/>
  <c r="K70"/>
  <c r="DS72"/>
  <c r="AY70"/>
  <c r="DS70" s="1"/>
  <c r="P87"/>
  <c r="BJ37" i="8"/>
  <c r="DS19" i="5"/>
  <c r="AY9"/>
  <c r="AY8" s="1"/>
  <c r="AY99" s="1"/>
  <c r="DS37"/>
  <c r="E68"/>
  <c r="F87"/>
  <c r="BB87" s="1"/>
  <c r="BB90"/>
  <c r="E90"/>
  <c r="Y87"/>
  <c r="BP94"/>
  <c r="T94"/>
  <c r="BV94" s="1"/>
  <c r="BL42" i="8"/>
  <c r="D38"/>
  <c r="BL38" s="1"/>
  <c r="BH9" i="5"/>
  <c r="P25"/>
  <c r="T25" s="1"/>
  <c r="X25" s="1"/>
  <c r="C26"/>
  <c r="P28"/>
  <c r="BP28" s="1"/>
  <c r="DS28"/>
  <c r="DQ26"/>
  <c r="DQ8" s="1"/>
  <c r="AW26"/>
  <c r="J36"/>
  <c r="R36"/>
  <c r="K54"/>
  <c r="O54" s="1"/>
  <c r="G46"/>
  <c r="AS46"/>
  <c r="AS36" s="1"/>
  <c r="C46"/>
  <c r="I46"/>
  <c r="U46"/>
  <c r="U36" s="1"/>
  <c r="BG67"/>
  <c r="G80"/>
  <c r="AJ37" i="8"/>
  <c r="AP37"/>
  <c r="AV37"/>
  <c r="BB37"/>
  <c r="BB74" s="1"/>
  <c r="BH37"/>
  <c r="D117"/>
  <c r="M117"/>
  <c r="AC37" i="9"/>
  <c r="BG74" i="11"/>
  <c r="BJ13" i="5"/>
  <c r="BJ16"/>
  <c r="BM18"/>
  <c r="BS18" s="1"/>
  <c r="BY18" s="1"/>
  <c r="CE18" s="1"/>
  <c r="CK18" s="1"/>
  <c r="CQ18" s="1"/>
  <c r="CW18" s="1"/>
  <c r="DC18" s="1"/>
  <c r="DI18" s="1"/>
  <c r="DV27"/>
  <c r="K38"/>
  <c r="K37" s="1"/>
  <c r="BC37"/>
  <c r="BC36" s="1"/>
  <c r="BJ39"/>
  <c r="BJ42"/>
  <c r="BI43"/>
  <c r="K48"/>
  <c r="BI48" s="1"/>
  <c r="K55"/>
  <c r="O55" s="1"/>
  <c r="BI57"/>
  <c r="K60"/>
  <c r="O60" s="1"/>
  <c r="I98"/>
  <c r="K98" s="1"/>
  <c r="DT67"/>
  <c r="CR67"/>
  <c r="K81"/>
  <c r="BG81"/>
  <c r="BG80" s="1"/>
  <c r="L83"/>
  <c r="L80" s="1"/>
  <c r="BI90"/>
  <c r="BI92"/>
  <c r="F37" i="8"/>
  <c r="AM37"/>
  <c r="AY37"/>
  <c r="C9" i="9"/>
  <c r="J9"/>
  <c r="Z9"/>
  <c r="AG9"/>
  <c r="H9" i="10"/>
  <c r="P9"/>
  <c r="X9"/>
  <c r="AD9"/>
  <c r="AP9"/>
  <c r="E37" i="11"/>
  <c r="E87" s="1"/>
  <c r="BI9"/>
  <c r="Z63" i="5"/>
  <c r="Z64" s="1"/>
  <c r="BW63"/>
  <c r="BW64" s="1"/>
  <c r="CU63"/>
  <c r="CU64" s="1"/>
  <c r="BJ12"/>
  <c r="P13"/>
  <c r="BP13" s="1"/>
  <c r="BM15"/>
  <c r="BS15" s="1"/>
  <c r="BY15" s="1"/>
  <c r="CE15" s="1"/>
  <c r="CK15" s="1"/>
  <c r="CQ15" s="1"/>
  <c r="CW15" s="1"/>
  <c r="DC15" s="1"/>
  <c r="DI15" s="1"/>
  <c r="BJ29"/>
  <c r="BI32"/>
  <c r="BE37"/>
  <c r="BE36" s="1"/>
  <c r="BJ60"/>
  <c r="BD98"/>
  <c r="BF98" s="1"/>
  <c r="DQ98"/>
  <c r="DQ99" s="1"/>
  <c r="BJ74"/>
  <c r="C73"/>
  <c r="DS81"/>
  <c r="DV92"/>
  <c r="DV94"/>
  <c r="DV96"/>
  <c r="AG37" i="8"/>
  <c r="AS37"/>
  <c r="BE37"/>
  <c r="E114"/>
  <c r="F114" s="1"/>
  <c r="F9" i="9"/>
  <c r="N9"/>
  <c r="V9"/>
  <c r="E9" i="10"/>
  <c r="L9"/>
  <c r="T9"/>
  <c r="AA9"/>
  <c r="AJ9"/>
  <c r="AV9"/>
  <c r="R37"/>
  <c r="DT87" i="11"/>
  <c r="AZ77"/>
  <c r="DT114"/>
  <c r="BJ37"/>
  <c r="L87"/>
  <c r="Z75"/>
  <c r="Z76"/>
  <c r="BB47"/>
  <c r="DV47"/>
  <c r="T94"/>
  <c r="P91"/>
  <c r="BP91" s="1"/>
  <c r="BP94"/>
  <c r="AW75"/>
  <c r="AW76"/>
  <c r="AO75"/>
  <c r="AO76"/>
  <c r="I75"/>
  <c r="I76"/>
  <c r="AG75"/>
  <c r="AG76"/>
  <c r="Q75"/>
  <c r="Q76"/>
  <c r="AJ12" i="8"/>
  <c r="BR12" i="11" s="1"/>
  <c r="G47" i="8"/>
  <c r="AF47" s="1"/>
  <c r="E37"/>
  <c r="C9"/>
  <c r="F9"/>
  <c r="N9"/>
  <c r="V9"/>
  <c r="AC9"/>
  <c r="AC74" s="1"/>
  <c r="AC75" s="1"/>
  <c r="AM9"/>
  <c r="AS9"/>
  <c r="AY9"/>
  <c r="BE9"/>
  <c r="BE74" s="1"/>
  <c r="BE75" s="1"/>
  <c r="BI9"/>
  <c r="H37"/>
  <c r="L37"/>
  <c r="L74" s="1"/>
  <c r="P37"/>
  <c r="P74" s="1"/>
  <c r="X37"/>
  <c r="D78"/>
  <c r="BL78" s="1"/>
  <c r="AE78"/>
  <c r="BJ114"/>
  <c r="BJ118" s="1"/>
  <c r="F9" i="10"/>
  <c r="Q117" i="8"/>
  <c r="AU117" s="1"/>
  <c r="AV117" s="1"/>
  <c r="Q116"/>
  <c r="Q115"/>
  <c r="AG37" i="9"/>
  <c r="S94" i="11"/>
  <c r="O91"/>
  <c r="BO91" s="1"/>
  <c r="BO94"/>
  <c r="BT94"/>
  <c r="BN91"/>
  <c r="H37" i="9"/>
  <c r="P37"/>
  <c r="P74" s="1"/>
  <c r="X37"/>
  <c r="D49"/>
  <c r="BL49" s="1"/>
  <c r="AE84"/>
  <c r="AE101" i="10"/>
  <c r="AH101" s="1"/>
  <c r="AK101" s="1"/>
  <c r="AN101" s="1"/>
  <c r="AQ101" s="1"/>
  <c r="AT101" s="1"/>
  <c r="AW101" s="1"/>
  <c r="AZ101" s="1"/>
  <c r="BC101" s="1"/>
  <c r="BF101" s="1"/>
  <c r="C37" i="9"/>
  <c r="BS94" i="11"/>
  <c r="BM91"/>
  <c r="H75"/>
  <c r="H76"/>
  <c r="AC75"/>
  <c r="AC76"/>
  <c r="U75"/>
  <c r="U76"/>
  <c r="AE78" i="9"/>
  <c r="AE101"/>
  <c r="AH101" s="1"/>
  <c r="AK101" s="1"/>
  <c r="AN101" s="1"/>
  <c r="AQ101" s="1"/>
  <c r="AT101" s="1"/>
  <c r="AW101" s="1"/>
  <c r="AZ101" s="1"/>
  <c r="BC101" s="1"/>
  <c r="BF101" s="1"/>
  <c r="AC9" i="10"/>
  <c r="AG9"/>
  <c r="AM9"/>
  <c r="AS9"/>
  <c r="AY9"/>
  <c r="DS87" i="11"/>
  <c r="DS114"/>
  <c r="AY77"/>
  <c r="E37" i="9"/>
  <c r="G38"/>
  <c r="AF38" s="1"/>
  <c r="J37"/>
  <c r="N37"/>
  <c r="R37"/>
  <c r="R87" s="1"/>
  <c r="R77" s="1"/>
  <c r="V37"/>
  <c r="V87" s="1"/>
  <c r="V77" s="1"/>
  <c r="Z37"/>
  <c r="AD37"/>
  <c r="G10" i="10"/>
  <c r="J9"/>
  <c r="N9"/>
  <c r="R9"/>
  <c r="V9"/>
  <c r="V87" s="1"/>
  <c r="V77" s="1"/>
  <c r="Z9"/>
  <c r="AE10" i="9"/>
  <c r="AE27"/>
  <c r="BB9" i="10"/>
  <c r="BE9"/>
  <c r="BH9"/>
  <c r="BJ9"/>
  <c r="J37"/>
  <c r="Z37"/>
  <c r="D27" i="9"/>
  <c r="BL27" s="1"/>
  <c r="BJ114"/>
  <c r="BJ118" s="1"/>
  <c r="D81"/>
  <c r="BL81" s="1"/>
  <c r="D94"/>
  <c r="BL94" s="1"/>
  <c r="D94" i="10"/>
  <c r="BL94" s="1"/>
  <c r="G101"/>
  <c r="AF101" s="1"/>
  <c r="AE78"/>
  <c r="D81"/>
  <c r="BL81" s="1"/>
  <c r="AE84"/>
  <c r="G84" i="9"/>
  <c r="AF84" s="1"/>
  <c r="E37" i="10"/>
  <c r="H37"/>
  <c r="AE49" i="9"/>
  <c r="AE47" s="1"/>
  <c r="AJ37"/>
  <c r="AM37"/>
  <c r="D78"/>
  <c r="BL78" s="1"/>
  <c r="AE81"/>
  <c r="D84"/>
  <c r="BL84" s="1"/>
  <c r="G27" i="10"/>
  <c r="AF27" s="1"/>
  <c r="G38"/>
  <c r="AF38" s="1"/>
  <c r="N37"/>
  <c r="V37"/>
  <c r="AD37"/>
  <c r="AD87" s="1"/>
  <c r="AD77" s="1"/>
  <c r="AE49"/>
  <c r="AE47" s="1"/>
  <c r="D78"/>
  <c r="BL78" s="1"/>
  <c r="AE81"/>
  <c r="D84"/>
  <c r="BL84" s="1"/>
  <c r="I15" i="9"/>
  <c r="AI15" s="1"/>
  <c r="L37"/>
  <c r="T37"/>
  <c r="AP37"/>
  <c r="AS37"/>
  <c r="AV37"/>
  <c r="AY37"/>
  <c r="BB37"/>
  <c r="BE37"/>
  <c r="BH37"/>
  <c r="BI37"/>
  <c r="BJ37"/>
  <c r="F37" i="10"/>
  <c r="D10" i="9"/>
  <c r="BL10" s="1"/>
  <c r="AC9"/>
  <c r="AJ9"/>
  <c r="AM9"/>
  <c r="AP9"/>
  <c r="AS9"/>
  <c r="AV9"/>
  <c r="AY9"/>
  <c r="BB9"/>
  <c r="BE9"/>
  <c r="BH9"/>
  <c r="BI9"/>
  <c r="BJ9"/>
  <c r="G27"/>
  <c r="AF27" s="1"/>
  <c r="AA37"/>
  <c r="AA74" s="1"/>
  <c r="AA76" s="1"/>
  <c r="D38"/>
  <c r="AB38" s="1"/>
  <c r="F37"/>
  <c r="AE38"/>
  <c r="G49"/>
  <c r="AF49" s="1"/>
  <c r="F114"/>
  <c r="G114" s="1"/>
  <c r="H114" s="1"/>
  <c r="G78"/>
  <c r="AF78" s="1"/>
  <c r="G81"/>
  <c r="AF81" s="1"/>
  <c r="G94"/>
  <c r="AF94" s="1"/>
  <c r="AE94"/>
  <c r="AH94" s="1"/>
  <c r="AK94" s="1"/>
  <c r="AN94" s="1"/>
  <c r="AQ94" s="1"/>
  <c r="AT94" s="1"/>
  <c r="AW94" s="1"/>
  <c r="AZ94" s="1"/>
  <c r="BC94" s="1"/>
  <c r="BF94" s="1"/>
  <c r="G101"/>
  <c r="AF101" s="1"/>
  <c r="C9" i="10"/>
  <c r="D27"/>
  <c r="BL27" s="1"/>
  <c r="AE27"/>
  <c r="D38"/>
  <c r="BL38" s="1"/>
  <c r="L37"/>
  <c r="P37"/>
  <c r="T37"/>
  <c r="X37"/>
  <c r="AE38"/>
  <c r="AJ37"/>
  <c r="AM37"/>
  <c r="AM87" s="1"/>
  <c r="AM77" s="1"/>
  <c r="AP37"/>
  <c r="AS37"/>
  <c r="AV37"/>
  <c r="AY37"/>
  <c r="BB37"/>
  <c r="BE37"/>
  <c r="BH37"/>
  <c r="BI37"/>
  <c r="BI74" s="1"/>
  <c r="BJ37"/>
  <c r="G47"/>
  <c r="AF47" s="1"/>
  <c r="AA47"/>
  <c r="BK47" s="1"/>
  <c r="AC47"/>
  <c r="AC37" s="1"/>
  <c r="G49"/>
  <c r="AF49" s="1"/>
  <c r="G78"/>
  <c r="AF78" s="1"/>
  <c r="G81"/>
  <c r="AF81" s="1"/>
  <c r="G84"/>
  <c r="AF84" s="1"/>
  <c r="D91"/>
  <c r="BL91" s="1"/>
  <c r="AE94"/>
  <c r="AE91" s="1"/>
  <c r="D101"/>
  <c r="BL101" s="1"/>
  <c r="I101"/>
  <c r="AI101" s="1"/>
  <c r="G47" i="9"/>
  <c r="AF47" s="1"/>
  <c r="AG37" i="10"/>
  <c r="AE101" i="8"/>
  <c r="AH101" s="1"/>
  <c r="AK101" s="1"/>
  <c r="AN101" s="1"/>
  <c r="AQ101" s="1"/>
  <c r="AT101" s="1"/>
  <c r="AW101" s="1"/>
  <c r="AZ101" s="1"/>
  <c r="BC101" s="1"/>
  <c r="BF101" s="1"/>
  <c r="AA37"/>
  <c r="AA87" s="1"/>
  <c r="C37"/>
  <c r="G38"/>
  <c r="AF38" s="1"/>
  <c r="J37"/>
  <c r="J74" s="1"/>
  <c r="N37"/>
  <c r="R37"/>
  <c r="V37"/>
  <c r="Z37"/>
  <c r="AD37"/>
  <c r="AD74" s="1"/>
  <c r="D49"/>
  <c r="BL49" s="1"/>
  <c r="AE49"/>
  <c r="AE47" s="1"/>
  <c r="G78"/>
  <c r="AF78" s="1"/>
  <c r="G81"/>
  <c r="AF81" s="1"/>
  <c r="D84"/>
  <c r="BL84" s="1"/>
  <c r="AE81"/>
  <c r="G84"/>
  <c r="AF84" s="1"/>
  <c r="D10"/>
  <c r="AB10" s="1"/>
  <c r="D27"/>
  <c r="BL27" s="1"/>
  <c r="AE38"/>
  <c r="G27"/>
  <c r="AF27" s="1"/>
  <c r="AE27"/>
  <c r="G94"/>
  <c r="AF94" s="1"/>
  <c r="AE94"/>
  <c r="AE91" s="1"/>
  <c r="G49"/>
  <c r="AF49" s="1"/>
  <c r="AE84"/>
  <c r="AE10"/>
  <c r="AF11"/>
  <c r="G10"/>
  <c r="BK12"/>
  <c r="AZ12" i="11"/>
  <c r="AY12"/>
  <c r="BF12"/>
  <c r="BE12"/>
  <c r="CD12"/>
  <c r="CC12"/>
  <c r="CP12"/>
  <c r="CO12"/>
  <c r="DB12"/>
  <c r="DA12"/>
  <c r="DR12"/>
  <c r="DQ12"/>
  <c r="AE12" i="8"/>
  <c r="AH12" s="1"/>
  <c r="BC12" i="11"/>
  <c r="BD12"/>
  <c r="BK12"/>
  <c r="BL12"/>
  <c r="BW12"/>
  <c r="BX12"/>
  <c r="CI12"/>
  <c r="CJ12"/>
  <c r="CU12"/>
  <c r="CV12"/>
  <c r="DG12"/>
  <c r="DH12"/>
  <c r="BL73" i="8"/>
  <c r="BL63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9"/>
  <c r="BL63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10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E91" i="8"/>
  <c r="AC91"/>
  <c r="D101"/>
  <c r="BL101" s="1"/>
  <c r="I101"/>
  <c r="AI101" s="1"/>
  <c r="G10" i="9"/>
  <c r="AF10" s="1"/>
  <c r="I16"/>
  <c r="AI16" s="1"/>
  <c r="D91"/>
  <c r="BL91" s="1"/>
  <c r="E91"/>
  <c r="AC91"/>
  <c r="D101"/>
  <c r="BL101" s="1"/>
  <c r="I101"/>
  <c r="AI101" s="1"/>
  <c r="D10" i="10"/>
  <c r="AB10" s="1"/>
  <c r="AE10"/>
  <c r="D49"/>
  <c r="BL49" s="1"/>
  <c r="E114"/>
  <c r="AC114"/>
  <c r="BG114" s="1"/>
  <c r="BJ114"/>
  <c r="G94"/>
  <c r="AF94" s="1"/>
  <c r="AB97" i="8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9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10"/>
  <c r="BL63"/>
  <c r="BL118"/>
  <c r="BF118"/>
  <c r="BC118"/>
  <c r="AZ118"/>
  <c r="AW118"/>
  <c r="AT118"/>
  <c r="AQ118"/>
  <c r="AN118"/>
  <c r="AK118"/>
  <c r="AH118"/>
  <c r="AE118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N74" i="9"/>
  <c r="N75" s="1"/>
  <c r="AP74" i="10"/>
  <c r="AP75" s="1"/>
  <c r="K77" i="11"/>
  <c r="CB108"/>
  <c r="AB108"/>
  <c r="CG112"/>
  <c r="AE112"/>
  <c r="CG111"/>
  <c r="AE111"/>
  <c r="CG110"/>
  <c r="AE110"/>
  <c r="CG109"/>
  <c r="AE109"/>
  <c r="CH112"/>
  <c r="AF112"/>
  <c r="CH111"/>
  <c r="AF111"/>
  <c r="CH110"/>
  <c r="CH109"/>
  <c r="AF109"/>
  <c r="BY86"/>
  <c r="BY84" s="1"/>
  <c r="CA83"/>
  <c r="AA83"/>
  <c r="BU78"/>
  <c r="CB92"/>
  <c r="AB92"/>
  <c r="CB80"/>
  <c r="AB80"/>
  <c r="BU38"/>
  <c r="S37"/>
  <c r="BU37" s="1"/>
  <c r="CB61"/>
  <c r="AB61"/>
  <c r="CB58"/>
  <c r="AB58"/>
  <c r="CB56"/>
  <c r="AB56"/>
  <c r="CE28"/>
  <c r="BY27"/>
  <c r="CO8"/>
  <c r="CQ8" s="1"/>
  <c r="CM8"/>
  <c r="CF28"/>
  <c r="BZ27"/>
  <c r="CP8"/>
  <c r="CR8" s="1"/>
  <c r="CN8"/>
  <c r="CH102"/>
  <c r="AF102"/>
  <c r="CB100"/>
  <c r="AB100"/>
  <c r="CB99"/>
  <c r="AB99"/>
  <c r="CB98"/>
  <c r="AB98"/>
  <c r="CB97"/>
  <c r="AB97"/>
  <c r="CB96"/>
  <c r="AB96"/>
  <c r="CB95"/>
  <c r="AB95"/>
  <c r="CB85"/>
  <c r="AB85"/>
  <c r="CA61"/>
  <c r="AA61"/>
  <c r="CA58"/>
  <c r="AA58"/>
  <c r="CA56"/>
  <c r="AA56"/>
  <c r="CL55"/>
  <c r="CF47"/>
  <c r="CF39"/>
  <c r="BZ38"/>
  <c r="BZ37" s="1"/>
  <c r="CA11"/>
  <c r="AA11"/>
  <c r="W10"/>
  <c r="BT9"/>
  <c r="BT74" s="1"/>
  <c r="CG102"/>
  <c r="AE102"/>
  <c r="CA100"/>
  <c r="AA100"/>
  <c r="CA99"/>
  <c r="AA99"/>
  <c r="CA98"/>
  <c r="AA98"/>
  <c r="CA97"/>
  <c r="CA96"/>
  <c r="AA96"/>
  <c r="CA95"/>
  <c r="AA95"/>
  <c r="CH107"/>
  <c r="AF107"/>
  <c r="CH106"/>
  <c r="AF106"/>
  <c r="CH105"/>
  <c r="AF105"/>
  <c r="CH104"/>
  <c r="AF104"/>
  <c r="CA93"/>
  <c r="AA93"/>
  <c r="CE79"/>
  <c r="BY78"/>
  <c r="CF92"/>
  <c r="CB82"/>
  <c r="AB82"/>
  <c r="X81"/>
  <c r="CB81" s="1"/>
  <c r="CA36"/>
  <c r="AA36"/>
  <c r="CA35"/>
  <c r="AA35"/>
  <c r="CA34"/>
  <c r="AA34"/>
  <c r="CA33"/>
  <c r="AA33"/>
  <c r="CA32"/>
  <c r="AA32"/>
  <c r="CA31"/>
  <c r="AA31"/>
  <c r="CA30"/>
  <c r="AA30"/>
  <c r="CB53"/>
  <c r="AB53"/>
  <c r="CB45"/>
  <c r="AB45"/>
  <c r="CB44"/>
  <c r="AB44"/>
  <c r="CB43"/>
  <c r="AB43"/>
  <c r="CB42"/>
  <c r="AB42"/>
  <c r="CB40"/>
  <c r="AB40"/>
  <c r="K75"/>
  <c r="K76"/>
  <c r="CB28"/>
  <c r="AB28"/>
  <c r="X27"/>
  <c r="CB27" s="1"/>
  <c r="CG108"/>
  <c r="AE108"/>
  <c r="AE107"/>
  <c r="CG106"/>
  <c r="AE106"/>
  <c r="CG105"/>
  <c r="AE105"/>
  <c r="CG104"/>
  <c r="AE104"/>
  <c r="CG103"/>
  <c r="AE103"/>
  <c r="CA101"/>
  <c r="AA101"/>
  <c r="BZ86"/>
  <c r="BZ84" s="1"/>
  <c r="CE82"/>
  <c r="BY81"/>
  <c r="CF85"/>
  <c r="CB79"/>
  <c r="AB79"/>
  <c r="X78"/>
  <c r="CA53"/>
  <c r="AA53"/>
  <c r="CA45"/>
  <c r="AA45"/>
  <c r="CA44"/>
  <c r="AA44"/>
  <c r="CA43"/>
  <c r="AA43"/>
  <c r="CA42"/>
  <c r="AA42"/>
  <c r="CA40"/>
  <c r="AA40"/>
  <c r="BV38"/>
  <c r="T37"/>
  <c r="BV37" s="1"/>
  <c r="CE11"/>
  <c r="BY10"/>
  <c r="CB29"/>
  <c r="AB29"/>
  <c r="BV10"/>
  <c r="T9"/>
  <c r="BS84"/>
  <c r="CE85"/>
  <c r="CA79"/>
  <c r="AA79"/>
  <c r="W78"/>
  <c r="CF82"/>
  <c r="BZ81"/>
  <c r="CA39"/>
  <c r="AA39"/>
  <c r="W38"/>
  <c r="E74"/>
  <c r="DU9"/>
  <c r="BA9"/>
  <c r="CB55"/>
  <c r="AB55"/>
  <c r="X47"/>
  <c r="CB47" s="1"/>
  <c r="CA26"/>
  <c r="AA26"/>
  <c r="CA25"/>
  <c r="AA25"/>
  <c r="CA24"/>
  <c r="AA24"/>
  <c r="CA23"/>
  <c r="AA23"/>
  <c r="CA22"/>
  <c r="AA22"/>
  <c r="CA21"/>
  <c r="AA21"/>
  <c r="CA20"/>
  <c r="AA20"/>
  <c r="CA19"/>
  <c r="AA19"/>
  <c r="CA18"/>
  <c r="AA18"/>
  <c r="CA17"/>
  <c r="AA17"/>
  <c r="CA14"/>
  <c r="AA14"/>
  <c r="CA13"/>
  <c r="AA13"/>
  <c r="CA12"/>
  <c r="AA12"/>
  <c r="CB26"/>
  <c r="AB26"/>
  <c r="CB25"/>
  <c r="AB25"/>
  <c r="CB24"/>
  <c r="AB24"/>
  <c r="CB23"/>
  <c r="AB23"/>
  <c r="CB22"/>
  <c r="AB22"/>
  <c r="CB21"/>
  <c r="AB21"/>
  <c r="CB20"/>
  <c r="AB20"/>
  <c r="CB19"/>
  <c r="AB19"/>
  <c r="CB18"/>
  <c r="AB18"/>
  <c r="CB17"/>
  <c r="AB17"/>
  <c r="CB14"/>
  <c r="AB14"/>
  <c r="CB13"/>
  <c r="AB13"/>
  <c r="CB12"/>
  <c r="AB12"/>
  <c r="BV101"/>
  <c r="X101"/>
  <c r="BV86"/>
  <c r="X86"/>
  <c r="CE92"/>
  <c r="CA82"/>
  <c r="AA82"/>
  <c r="W81"/>
  <c r="CA81" s="1"/>
  <c r="CB93"/>
  <c r="AB93"/>
  <c r="CF79"/>
  <c r="BZ78"/>
  <c r="CA55"/>
  <c r="AA55"/>
  <c r="W47"/>
  <c r="CA47" s="1"/>
  <c r="CB36"/>
  <c r="AB36"/>
  <c r="CB35"/>
  <c r="AB35"/>
  <c r="CB34"/>
  <c r="AB34"/>
  <c r="CB33"/>
  <c r="AB33"/>
  <c r="CB32"/>
  <c r="AB32"/>
  <c r="CB31"/>
  <c r="AB31"/>
  <c r="CB30"/>
  <c r="AB30"/>
  <c r="CA29"/>
  <c r="AA29"/>
  <c r="BU10"/>
  <c r="CF11"/>
  <c r="BZ10"/>
  <c r="BU86"/>
  <c r="W86"/>
  <c r="W84" s="1"/>
  <c r="CA84" s="1"/>
  <c r="CA85"/>
  <c r="AA85"/>
  <c r="CK55"/>
  <c r="CE47"/>
  <c r="CE39"/>
  <c r="BY38"/>
  <c r="BY37" s="1"/>
  <c r="CA28"/>
  <c r="AA28"/>
  <c r="W27"/>
  <c r="CA27" s="1"/>
  <c r="L76"/>
  <c r="CA92"/>
  <c r="AA92"/>
  <c r="CA80"/>
  <c r="AA80"/>
  <c r="CB83"/>
  <c r="AB83"/>
  <c r="CB39"/>
  <c r="AB39"/>
  <c r="X38"/>
  <c r="BS9"/>
  <c r="BS74" s="1"/>
  <c r="BO9"/>
  <c r="CA16"/>
  <c r="AA16"/>
  <c r="CA15"/>
  <c r="AA15"/>
  <c r="CB11"/>
  <c r="AB11"/>
  <c r="X10"/>
  <c r="T84"/>
  <c r="BV84" s="1"/>
  <c r="AF131" i="9"/>
  <c r="AF131" i="8"/>
  <c r="AF128" i="10"/>
  <c r="AK28"/>
  <c r="AH27"/>
  <c r="AM8"/>
  <c r="AN8" s="1"/>
  <c r="AL8"/>
  <c r="AK11"/>
  <c r="AH10"/>
  <c r="AK39"/>
  <c r="AH38"/>
  <c r="AK55"/>
  <c r="AH47"/>
  <c r="AK79"/>
  <c r="AH78"/>
  <c r="AK82"/>
  <c r="AH81"/>
  <c r="AK85"/>
  <c r="AI8"/>
  <c r="BK9"/>
  <c r="AF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5"/>
  <c r="I16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N87"/>
  <c r="N77" s="1"/>
  <c r="AP87"/>
  <c r="AP77" s="1"/>
  <c r="AB15"/>
  <c r="AB16"/>
  <c r="AK92"/>
  <c r="AH94"/>
  <c r="AK94" s="1"/>
  <c r="AN94" s="1"/>
  <c r="AQ94" s="1"/>
  <c r="AT94" s="1"/>
  <c r="AW94" s="1"/>
  <c r="AZ94" s="1"/>
  <c r="BC94" s="1"/>
  <c r="BF94" s="1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I85"/>
  <c r="AB85"/>
  <c r="I86"/>
  <c r="AB86"/>
  <c r="AF86"/>
  <c r="AH86"/>
  <c r="AB91"/>
  <c r="I92"/>
  <c r="AB92"/>
  <c r="I93"/>
  <c r="AB93"/>
  <c r="AB94"/>
  <c r="I95"/>
  <c r="AB95"/>
  <c r="I96"/>
  <c r="AB96"/>
  <c r="I97"/>
  <c r="I98"/>
  <c r="I99"/>
  <c r="I100"/>
  <c r="K102"/>
  <c r="AB102"/>
  <c r="K103"/>
  <c r="AB103"/>
  <c r="K104"/>
  <c r="AB104"/>
  <c r="K105"/>
  <c r="AB105"/>
  <c r="K106"/>
  <c r="K107"/>
  <c r="K108"/>
  <c r="K109"/>
  <c r="K110"/>
  <c r="K111"/>
  <c r="K112"/>
  <c r="AK28" i="9"/>
  <c r="AH27"/>
  <c r="AM8"/>
  <c r="AN8" s="1"/>
  <c r="AL8"/>
  <c r="AK11"/>
  <c r="AH10"/>
  <c r="C118"/>
  <c r="BI118"/>
  <c r="AK39"/>
  <c r="AH38"/>
  <c r="AK55"/>
  <c r="AH47"/>
  <c r="AK79"/>
  <c r="AH78"/>
  <c r="AK82"/>
  <c r="AH81"/>
  <c r="AK85"/>
  <c r="AI8"/>
  <c r="BK9"/>
  <c r="AB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AB27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BE87"/>
  <c r="BE77" s="1"/>
  <c r="K15"/>
  <c r="AB15"/>
  <c r="AB16"/>
  <c r="AK92"/>
  <c r="AE91"/>
  <c r="AC118"/>
  <c r="AD114"/>
  <c r="AE114" s="1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AB84"/>
  <c r="I85"/>
  <c r="AB85"/>
  <c r="I86"/>
  <c r="AB86"/>
  <c r="AF86"/>
  <c r="AH86"/>
  <c r="AH84" s="1"/>
  <c r="AB91"/>
  <c r="I92"/>
  <c r="AB92"/>
  <c r="I93"/>
  <c r="AB93"/>
  <c r="I95"/>
  <c r="AB95"/>
  <c r="I96"/>
  <c r="AB96"/>
  <c r="I97"/>
  <c r="I98"/>
  <c r="I99"/>
  <c r="I100"/>
  <c r="K102"/>
  <c r="AB102"/>
  <c r="K103"/>
  <c r="AB103"/>
  <c r="K104"/>
  <c r="AB104"/>
  <c r="K105"/>
  <c r="AB105"/>
  <c r="K106"/>
  <c r="K107"/>
  <c r="K108"/>
  <c r="K109"/>
  <c r="K110"/>
  <c r="K111"/>
  <c r="K112"/>
  <c r="AK11" i="8"/>
  <c r="AH10"/>
  <c r="AI15"/>
  <c r="K15"/>
  <c r="AI16"/>
  <c r="K16"/>
  <c r="AM8"/>
  <c r="AN8" s="1"/>
  <c r="AL8"/>
  <c r="AK28"/>
  <c r="AH27"/>
  <c r="AB15"/>
  <c r="AF15"/>
  <c r="AB16"/>
  <c r="AF16"/>
  <c r="C118"/>
  <c r="BI118"/>
  <c r="AK39"/>
  <c r="AH38"/>
  <c r="AK55"/>
  <c r="AH47"/>
  <c r="AK79"/>
  <c r="AH78"/>
  <c r="AK82"/>
  <c r="AH81"/>
  <c r="AK85"/>
  <c r="AI8"/>
  <c r="BK10"/>
  <c r="I11"/>
  <c r="AB11"/>
  <c r="I12"/>
  <c r="AB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AC87"/>
  <c r="AC77" s="1"/>
  <c r="AC118"/>
  <c r="AK92"/>
  <c r="I94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AB81"/>
  <c r="I82"/>
  <c r="AB82"/>
  <c r="I83"/>
  <c r="AB83"/>
  <c r="AB84"/>
  <c r="I85"/>
  <c r="AB85"/>
  <c r="I86"/>
  <c r="AB86"/>
  <c r="AF86"/>
  <c r="AH86"/>
  <c r="I92"/>
  <c r="AB92"/>
  <c r="I93"/>
  <c r="AB93"/>
  <c r="I95"/>
  <c r="AB95"/>
  <c r="I96"/>
  <c r="AB96"/>
  <c r="I97"/>
  <c r="I98"/>
  <c r="I99"/>
  <c r="I100"/>
  <c r="K102"/>
  <c r="AB102"/>
  <c r="K103"/>
  <c r="AB103"/>
  <c r="K104"/>
  <c r="AB104"/>
  <c r="K105"/>
  <c r="AB105"/>
  <c r="K106"/>
  <c r="K107"/>
  <c r="K108"/>
  <c r="K109"/>
  <c r="K110"/>
  <c r="K111"/>
  <c r="K112"/>
  <c r="BX7" i="5"/>
  <c r="BZ7" s="1"/>
  <c r="BV7"/>
  <c r="BT10"/>
  <c r="BW7"/>
  <c r="BY7" s="1"/>
  <c r="BU7"/>
  <c r="BS10"/>
  <c r="DO99"/>
  <c r="DS11"/>
  <c r="AZ11"/>
  <c r="DT11" s="1"/>
  <c r="BP20"/>
  <c r="T20"/>
  <c r="BT27"/>
  <c r="BN26"/>
  <c r="DV38"/>
  <c r="BT39"/>
  <c r="BZ39" s="1"/>
  <c r="CF39" s="1"/>
  <c r="CL39" s="1"/>
  <c r="CR39" s="1"/>
  <c r="CX39" s="1"/>
  <c r="DD39" s="1"/>
  <c r="DJ39" s="1"/>
  <c r="BN37"/>
  <c r="BO7"/>
  <c r="DS9"/>
  <c r="AL10"/>
  <c r="P11"/>
  <c r="BH11"/>
  <c r="BN11" s="1"/>
  <c r="BT11" s="1"/>
  <c r="BZ11" s="1"/>
  <c r="CF11" s="1"/>
  <c r="CL11" s="1"/>
  <c r="CR11" s="1"/>
  <c r="CX11" s="1"/>
  <c r="DD11" s="1"/>
  <c r="DJ11" s="1"/>
  <c r="BG11"/>
  <c r="BM11" s="1"/>
  <c r="BS11" s="1"/>
  <c r="BY11" s="1"/>
  <c r="CE11" s="1"/>
  <c r="CK11" s="1"/>
  <c r="CQ11" s="1"/>
  <c r="CW11" s="1"/>
  <c r="DC11" s="1"/>
  <c r="DI11" s="1"/>
  <c r="DU11"/>
  <c r="DV11"/>
  <c r="BV24"/>
  <c r="X24"/>
  <c r="BS27"/>
  <c r="BM26"/>
  <c r="BP30"/>
  <c r="T30"/>
  <c r="S32"/>
  <c r="BO32"/>
  <c r="T35"/>
  <c r="BP35"/>
  <c r="O38"/>
  <c r="BZ38"/>
  <c r="T41"/>
  <c r="BP41"/>
  <c r="BP7"/>
  <c r="DT9"/>
  <c r="K10"/>
  <c r="M10"/>
  <c r="P10"/>
  <c r="O11"/>
  <c r="BA11"/>
  <c r="E81"/>
  <c r="AW80"/>
  <c r="T43"/>
  <c r="BP43"/>
  <c r="T44"/>
  <c r="BP44"/>
  <c r="BT54"/>
  <c r="BN46"/>
  <c r="T57"/>
  <c r="BP57"/>
  <c r="K12"/>
  <c r="M12"/>
  <c r="Q12" s="1"/>
  <c r="P12"/>
  <c r="O13"/>
  <c r="Q13"/>
  <c r="T13"/>
  <c r="K14"/>
  <c r="K15"/>
  <c r="P16"/>
  <c r="U16"/>
  <c r="Y16" s="1"/>
  <c r="K17"/>
  <c r="M17"/>
  <c r="Q17" s="1"/>
  <c r="P17"/>
  <c r="K18"/>
  <c r="M18"/>
  <c r="Q18" s="1"/>
  <c r="U18" s="1"/>
  <c r="P18"/>
  <c r="BJ20"/>
  <c r="K21"/>
  <c r="M21"/>
  <c r="Q21" s="1"/>
  <c r="U21" s="1"/>
  <c r="P21"/>
  <c r="K22"/>
  <c r="M22"/>
  <c r="Q22" s="1"/>
  <c r="P22"/>
  <c r="P23"/>
  <c r="BP24"/>
  <c r="AL25"/>
  <c r="P27"/>
  <c r="O29"/>
  <c r="BA29"/>
  <c r="DU29"/>
  <c r="O30"/>
  <c r="AL30"/>
  <c r="P31"/>
  <c r="DT31"/>
  <c r="P32"/>
  <c r="AL32"/>
  <c r="O33"/>
  <c r="BA33"/>
  <c r="DU33"/>
  <c r="O34"/>
  <c r="AK34"/>
  <c r="O35"/>
  <c r="BJ35"/>
  <c r="N76"/>
  <c r="N66" s="1"/>
  <c r="CD76"/>
  <c r="CD66" s="1"/>
  <c r="DH76"/>
  <c r="DH66" s="1"/>
  <c r="BG38"/>
  <c r="P39"/>
  <c r="O41"/>
  <c r="BJ41"/>
  <c r="P42"/>
  <c r="DV42"/>
  <c r="DU42"/>
  <c r="S52"/>
  <c r="BO52"/>
  <c r="BM46"/>
  <c r="BS54"/>
  <c r="BI55"/>
  <c r="AL12"/>
  <c r="AL13"/>
  <c r="M14"/>
  <c r="M15"/>
  <c r="Q15" s="1"/>
  <c r="U15" s="1"/>
  <c r="O16"/>
  <c r="AL16"/>
  <c r="AL17"/>
  <c r="AL18"/>
  <c r="M19"/>
  <c r="P19"/>
  <c r="AL19"/>
  <c r="M20"/>
  <c r="Q20" s="1"/>
  <c r="AL21"/>
  <c r="AL22"/>
  <c r="O23"/>
  <c r="O24"/>
  <c r="Q24"/>
  <c r="U24" s="1"/>
  <c r="AL24"/>
  <c r="O27"/>
  <c r="BA27"/>
  <c r="T28"/>
  <c r="AL28"/>
  <c r="P29"/>
  <c r="U30"/>
  <c r="O31"/>
  <c r="BA31"/>
  <c r="AG32"/>
  <c r="P33"/>
  <c r="P34"/>
  <c r="BA35"/>
  <c r="CC76"/>
  <c r="CC66" s="1"/>
  <c r="CU76"/>
  <c r="CU66" s="1"/>
  <c r="I37"/>
  <c r="P38"/>
  <c r="O39"/>
  <c r="BA39"/>
  <c r="O42"/>
  <c r="BA42"/>
  <c r="BS68"/>
  <c r="BM67"/>
  <c r="BA69"/>
  <c r="BT74"/>
  <c r="BN81"/>
  <c r="BH80"/>
  <c r="E43"/>
  <c r="O43"/>
  <c r="BJ43"/>
  <c r="O44"/>
  <c r="BJ44"/>
  <c r="DV48"/>
  <c r="P52"/>
  <c r="BA52"/>
  <c r="BI52"/>
  <c r="DQ52"/>
  <c r="DS52" s="1"/>
  <c r="DT54"/>
  <c r="P55"/>
  <c r="O57"/>
  <c r="BJ57"/>
  <c r="P60"/>
  <c r="BI73"/>
  <c r="DS68"/>
  <c r="AY67"/>
  <c r="S69"/>
  <c r="BO69"/>
  <c r="T72"/>
  <c r="BP72"/>
  <c r="BJ83"/>
  <c r="BA48"/>
  <c r="P54"/>
  <c r="DT55"/>
  <c r="BJ81"/>
  <c r="X91"/>
  <c r="BV91"/>
  <c r="P69"/>
  <c r="BI69"/>
  <c r="DU70"/>
  <c r="P71"/>
  <c r="BB71"/>
  <c r="BJ71"/>
  <c r="BN71"/>
  <c r="O72"/>
  <c r="O74"/>
  <c r="BI74"/>
  <c r="BM74"/>
  <c r="O75"/>
  <c r="BI75"/>
  <c r="BM75"/>
  <c r="P81"/>
  <c r="O82"/>
  <c r="BA83"/>
  <c r="DU83"/>
  <c r="O84"/>
  <c r="O85"/>
  <c r="BV93"/>
  <c r="X93"/>
  <c r="BV95"/>
  <c r="X95"/>
  <c r="O68"/>
  <c r="BA68"/>
  <c r="O71"/>
  <c r="BA71"/>
  <c r="BA72"/>
  <c r="BA73"/>
  <c r="P74"/>
  <c r="P75"/>
  <c r="BJ75"/>
  <c r="BN75"/>
  <c r="P82"/>
  <c r="P84"/>
  <c r="P85"/>
  <c r="BN90"/>
  <c r="BT90" s="1"/>
  <c r="BZ90" s="1"/>
  <c r="CF90" s="1"/>
  <c r="CL90" s="1"/>
  <c r="CR90" s="1"/>
  <c r="CX90" s="1"/>
  <c r="DD90" s="1"/>
  <c r="DJ90" s="1"/>
  <c r="DU91"/>
  <c r="BA91"/>
  <c r="P86"/>
  <c r="X88"/>
  <c r="S89"/>
  <c r="DU89"/>
  <c r="O90"/>
  <c r="S91"/>
  <c r="BP93"/>
  <c r="BP95"/>
  <c r="O86"/>
  <c r="W88"/>
  <c r="T89"/>
  <c r="X90"/>
  <c r="BA90"/>
  <c r="DV91"/>
  <c r="BO93"/>
  <c r="S92"/>
  <c r="BA92"/>
  <c r="S93"/>
  <c r="BA93"/>
  <c r="S94"/>
  <c r="BA94"/>
  <c r="S95"/>
  <c r="BA95"/>
  <c r="S96"/>
  <c r="BA96"/>
  <c r="P111"/>
  <c r="O111"/>
  <c r="AM87" i="8" l="1"/>
  <c r="AM77" s="1"/>
  <c r="AP87"/>
  <c r="AP77" s="1"/>
  <c r="N63" i="5"/>
  <c r="BL76"/>
  <c r="BL66" s="1"/>
  <c r="S87" i="11"/>
  <c r="N64" i="5"/>
  <c r="N65"/>
  <c r="BA70"/>
  <c r="AB81" i="9"/>
  <c r="I94"/>
  <c r="BP9" i="11"/>
  <c r="AC74" i="9"/>
  <c r="AC75" s="1"/>
  <c r="F76" i="11"/>
  <c r="P87"/>
  <c r="AG74" i="8"/>
  <c r="BC76" i="5"/>
  <c r="BC66" s="1"/>
  <c r="AM74" i="8"/>
  <c r="H87" i="9"/>
  <c r="H77" s="1"/>
  <c r="BL63" i="5"/>
  <c r="BJ87"/>
  <c r="P83"/>
  <c r="AB49" i="9"/>
  <c r="X74" i="10"/>
  <c r="L74" i="9"/>
  <c r="L75" s="1"/>
  <c r="Z87"/>
  <c r="Z77" s="1"/>
  <c r="V74" i="10"/>
  <c r="K101" i="8"/>
  <c r="AB101" i="10"/>
  <c r="AY87"/>
  <c r="AY77" s="1"/>
  <c r="BA37" i="11"/>
  <c r="CC63" i="5"/>
  <c r="CC64" s="1"/>
  <c r="DP63"/>
  <c r="DP65" s="1"/>
  <c r="BH74" i="8"/>
  <c r="AT63" i="5"/>
  <c r="AT64" s="1"/>
  <c r="BK63"/>
  <c r="CP76"/>
  <c r="CP66" s="1"/>
  <c r="O87" i="11"/>
  <c r="AE37" i="8"/>
  <c r="CO76" i="5"/>
  <c r="CO66" s="1"/>
  <c r="DM76"/>
  <c r="DM66" s="1"/>
  <c r="AH94" i="8"/>
  <c r="AK94" s="1"/>
  <c r="AN94" s="1"/>
  <c r="AQ94" s="1"/>
  <c r="AT94" s="1"/>
  <c r="AW94" s="1"/>
  <c r="AZ94" s="1"/>
  <c r="BC94" s="1"/>
  <c r="BF94" s="1"/>
  <c r="BE87"/>
  <c r="BE77" s="1"/>
  <c r="P87"/>
  <c r="P77" s="1"/>
  <c r="AF103" i="11"/>
  <c r="AA37" i="10"/>
  <c r="C74"/>
  <c r="C75" s="1"/>
  <c r="E74" i="8"/>
  <c r="DS26" i="5"/>
  <c r="DO63"/>
  <c r="DO64" s="1"/>
  <c r="BK37" i="9"/>
  <c r="DR114" i="11"/>
  <c r="AG87" i="9"/>
  <c r="AG77" s="1"/>
  <c r="BS71" i="5"/>
  <c r="BS70" s="1"/>
  <c r="K101" i="9"/>
  <c r="AB27" i="10"/>
  <c r="BB87"/>
  <c r="BB77" s="1"/>
  <c r="X74" i="9"/>
  <c r="X75" s="1"/>
  <c r="AV74" i="8"/>
  <c r="BI67" i="5"/>
  <c r="J63"/>
  <c r="J64" s="1"/>
  <c r="AK67"/>
  <c r="CO63"/>
  <c r="BI39"/>
  <c r="BX63"/>
  <c r="V63"/>
  <c r="V65" s="1"/>
  <c r="D47" i="9"/>
  <c r="BL47" s="1"/>
  <c r="AS87" i="8"/>
  <c r="AS77" s="1"/>
  <c r="AY87" i="9"/>
  <c r="AY77" s="1"/>
  <c r="R74" i="10"/>
  <c r="R75" s="1"/>
  <c r="BJ37" i="5"/>
  <c r="D8"/>
  <c r="T74" i="10"/>
  <c r="T76" s="1"/>
  <c r="BJ9" i="5"/>
  <c r="BJ65" s="1"/>
  <c r="Z87" i="8"/>
  <c r="Z77" s="1"/>
  <c r="BM9" i="5"/>
  <c r="BF76"/>
  <c r="BF66" s="1"/>
  <c r="R74" i="9"/>
  <c r="R75" s="1"/>
  <c r="E87"/>
  <c r="E77" s="1"/>
  <c r="N74" i="10"/>
  <c r="N75" s="1"/>
  <c r="BC99" i="5"/>
  <c r="BK76"/>
  <c r="BK66" s="1"/>
  <c r="BH74" i="10"/>
  <c r="BH75" s="1"/>
  <c r="R87"/>
  <c r="R77" s="1"/>
  <c r="N87" i="9"/>
  <c r="N77" s="1"/>
  <c r="C74"/>
  <c r="C75" s="1"/>
  <c r="BI81" i="5"/>
  <c r="BI74" i="8"/>
  <c r="R87"/>
  <c r="R77" s="1"/>
  <c r="BJ74"/>
  <c r="BJ75" s="1"/>
  <c r="X74"/>
  <c r="X76" s="1"/>
  <c r="DP64" i="5"/>
  <c r="DG64"/>
  <c r="DG65"/>
  <c r="T75" i="10"/>
  <c r="DU98" i="5"/>
  <c r="T68"/>
  <c r="DP76"/>
  <c r="DP66" s="1"/>
  <c r="DP77" s="1"/>
  <c r="BI87" i="8"/>
  <c r="BI77" s="1"/>
  <c r="BI88" s="1"/>
  <c r="D118" i="9"/>
  <c r="BL118" s="1"/>
  <c r="BI87" i="10"/>
  <c r="BI77" s="1"/>
  <c r="AD87" i="9"/>
  <c r="AD77" s="1"/>
  <c r="R76" i="5"/>
  <c r="R66" s="1"/>
  <c r="BD63"/>
  <c r="BD65" s="1"/>
  <c r="X96"/>
  <c r="DV69"/>
  <c r="BI60"/>
  <c r="DV35"/>
  <c r="BJ87" i="8"/>
  <c r="BJ77" s="1"/>
  <c r="X87"/>
  <c r="X77" s="1"/>
  <c r="AC76"/>
  <c r="AB101" i="9"/>
  <c r="L87"/>
  <c r="L77" s="1"/>
  <c r="AB49" i="10"/>
  <c r="AB38"/>
  <c r="I94"/>
  <c r="AI94" s="1"/>
  <c r="X87"/>
  <c r="X77" s="1"/>
  <c r="Z74" i="9"/>
  <c r="Z75" s="1"/>
  <c r="D9"/>
  <c r="AB9" s="1"/>
  <c r="AS87" i="10"/>
  <c r="AS77" s="1"/>
  <c r="L87"/>
  <c r="L77" s="1"/>
  <c r="H74"/>
  <c r="H76" s="1"/>
  <c r="E74" i="9"/>
  <c r="E75" s="1"/>
  <c r="DQ63" i="5"/>
  <c r="DQ64" s="1"/>
  <c r="BI87"/>
  <c r="D36"/>
  <c r="DN76"/>
  <c r="DN66" s="1"/>
  <c r="BR76"/>
  <c r="BR66" s="1"/>
  <c r="E37"/>
  <c r="BA41"/>
  <c r="CJ76"/>
  <c r="CJ66" s="1"/>
  <c r="V76"/>
  <c r="V66" s="1"/>
  <c r="D118" i="8"/>
  <c r="BL118" s="1"/>
  <c r="C87" i="9"/>
  <c r="C77" s="1"/>
  <c r="BH36" i="5"/>
  <c r="O81"/>
  <c r="DG76"/>
  <c r="DG66" s="1"/>
  <c r="DV41"/>
  <c r="CV76"/>
  <c r="CV66" s="1"/>
  <c r="BX76"/>
  <c r="BX66" s="1"/>
  <c r="J76"/>
  <c r="J66" s="1"/>
  <c r="AB49" i="8"/>
  <c r="AB38"/>
  <c r="K16" i="9"/>
  <c r="P87"/>
  <c r="P77" s="1"/>
  <c r="K101" i="10"/>
  <c r="M101" s="1"/>
  <c r="G91"/>
  <c r="AF91" s="1"/>
  <c r="O74" i="11"/>
  <c r="AE9" i="10"/>
  <c r="Z74" i="8"/>
  <c r="Z75" s="1"/>
  <c r="H74" i="9"/>
  <c r="H75" s="1"/>
  <c r="AS74" i="8"/>
  <c r="AS75" s="1"/>
  <c r="AW8" i="5"/>
  <c r="AW36"/>
  <c r="BF63"/>
  <c r="BJ67"/>
  <c r="V75" i="10"/>
  <c r="V76"/>
  <c r="BE87"/>
  <c r="BE77" s="1"/>
  <c r="AJ87" i="9"/>
  <c r="AJ77" s="1"/>
  <c r="BJ87"/>
  <c r="BJ77" s="1"/>
  <c r="BJ74" i="10"/>
  <c r="BJ76" s="1"/>
  <c r="J87"/>
  <c r="J77" s="1"/>
  <c r="BD99" i="5"/>
  <c r="DU57"/>
  <c r="AV74" i="10"/>
  <c r="AV75" s="1"/>
  <c r="AZ99" i="5"/>
  <c r="AA74" i="8"/>
  <c r="AA76" s="1"/>
  <c r="T87"/>
  <c r="T77" s="1"/>
  <c r="AP74"/>
  <c r="AP75" s="1"/>
  <c r="H74"/>
  <c r="H75" s="1"/>
  <c r="AH76" i="5"/>
  <c r="AH66" s="1"/>
  <c r="DA63"/>
  <c r="DA65" s="1"/>
  <c r="T87" i="9"/>
  <c r="T77" s="1"/>
  <c r="X87"/>
  <c r="X77" s="1"/>
  <c r="BE76" i="5"/>
  <c r="BE66" s="1"/>
  <c r="BB74" i="10"/>
  <c r="BB75" s="1"/>
  <c r="AY36" i="5"/>
  <c r="L75" i="8"/>
  <c r="L76"/>
  <c r="AG75"/>
  <c r="AG76"/>
  <c r="CO64" i="5"/>
  <c r="CO65"/>
  <c r="DA64"/>
  <c r="DT65"/>
  <c r="AT65"/>
  <c r="DS8"/>
  <c r="BA38"/>
  <c r="BN9"/>
  <c r="AD114" i="8"/>
  <c r="AE114" s="1"/>
  <c r="E87"/>
  <c r="E77" s="1"/>
  <c r="BK9"/>
  <c r="AA118"/>
  <c r="L76" i="9"/>
  <c r="V74"/>
  <c r="V75" s="1"/>
  <c r="G9" i="8"/>
  <c r="AF9" s="1"/>
  <c r="AV87" i="10"/>
  <c r="AV77" s="1"/>
  <c r="BB87" i="11"/>
  <c r="BE63" i="5"/>
  <c r="BE65" s="1"/>
  <c r="CI63"/>
  <c r="C8"/>
  <c r="E46"/>
  <c r="DR36"/>
  <c r="DS98"/>
  <c r="DR99"/>
  <c r="X94"/>
  <c r="BI83"/>
  <c r="DV98"/>
  <c r="DQ76"/>
  <c r="DQ66" s="1"/>
  <c r="DA76"/>
  <c r="DA66" s="1"/>
  <c r="BI54"/>
  <c r="DP99"/>
  <c r="CC65"/>
  <c r="DU38"/>
  <c r="AB94" i="8"/>
  <c r="BB87"/>
  <c r="BB77" s="1"/>
  <c r="AG87"/>
  <c r="AG77" s="1"/>
  <c r="H87"/>
  <c r="H77" s="1"/>
  <c r="AB27"/>
  <c r="AB47" i="9"/>
  <c r="BD114" i="11"/>
  <c r="D91" i="8"/>
  <c r="AY74" i="10"/>
  <c r="AY76" s="1"/>
  <c r="DV87" i="11"/>
  <c r="BQ63" i="5"/>
  <c r="BQ65" s="1"/>
  <c r="BA57"/>
  <c r="K80"/>
  <c r="BM81"/>
  <c r="BV25"/>
  <c r="L87" i="8"/>
  <c r="L77" s="1"/>
  <c r="AA87" i="9"/>
  <c r="AA77" s="1"/>
  <c r="AA88" s="1"/>
  <c r="BC114" i="11"/>
  <c r="T74" i="9"/>
  <c r="T76" s="1"/>
  <c r="C36" i="5"/>
  <c r="BH8"/>
  <c r="AH63"/>
  <c r="AH64" s="1"/>
  <c r="CV64"/>
  <c r="CV65"/>
  <c r="AE9" i="9"/>
  <c r="R63" i="5"/>
  <c r="BX64"/>
  <c r="BX65"/>
  <c r="AC63"/>
  <c r="AC64" s="1"/>
  <c r="AC76"/>
  <c r="AC66" s="1"/>
  <c r="BL64"/>
  <c r="BL65"/>
  <c r="AJ74" i="9"/>
  <c r="AJ75" s="1"/>
  <c r="BB87"/>
  <c r="BB77" s="1"/>
  <c r="AP87"/>
  <c r="AP77" s="1"/>
  <c r="BI70" i="5"/>
  <c r="CJ64"/>
  <c r="CJ65"/>
  <c r="BE74" i="9"/>
  <c r="BE75" s="1"/>
  <c r="AS74"/>
  <c r="AS75" s="1"/>
  <c r="DH64" i="5"/>
  <c r="DH65"/>
  <c r="BT37"/>
  <c r="F87" i="8"/>
  <c r="F77" s="1"/>
  <c r="BJ26" i="5"/>
  <c r="AM87" i="9"/>
  <c r="AM77" s="1"/>
  <c r="Z87" i="10"/>
  <c r="Z77" s="1"/>
  <c r="J74"/>
  <c r="J76" s="1"/>
  <c r="AJ87"/>
  <c r="AJ77" s="1"/>
  <c r="E87"/>
  <c r="E77" s="1"/>
  <c r="AG74"/>
  <c r="AG76" s="1"/>
  <c r="L74"/>
  <c r="L75" s="1"/>
  <c r="AD74"/>
  <c r="AD75" s="1"/>
  <c r="AG74" i="9"/>
  <c r="AG76" s="1"/>
  <c r="AY74" i="8"/>
  <c r="AY76" s="1"/>
  <c r="R74"/>
  <c r="R75" s="1"/>
  <c r="DB63" i="5"/>
  <c r="X75" i="10"/>
  <c r="X76"/>
  <c r="E75" i="8"/>
  <c r="E76"/>
  <c r="BB75"/>
  <c r="BB76"/>
  <c r="DM64" i="5"/>
  <c r="DM65"/>
  <c r="BK64"/>
  <c r="BK65"/>
  <c r="P75" i="9"/>
  <c r="P76"/>
  <c r="BJ87" i="10"/>
  <c r="BJ77" s="1"/>
  <c r="BJ88" s="1"/>
  <c r="AX63" i="5"/>
  <c r="AX64" s="1"/>
  <c r="X92"/>
  <c r="DU52"/>
  <c r="I36"/>
  <c r="I63" s="1"/>
  <c r="DB76"/>
  <c r="DB66" s="1"/>
  <c r="AD76"/>
  <c r="AD66" s="1"/>
  <c r="BP25"/>
  <c r="AY87" i="8"/>
  <c r="AY77" s="1"/>
  <c r="J87"/>
  <c r="J77" s="1"/>
  <c r="BK37"/>
  <c r="AB78" i="9"/>
  <c r="AS87"/>
  <c r="AS77" s="1"/>
  <c r="AC87"/>
  <c r="AC77" s="1"/>
  <c r="AD114" i="10"/>
  <c r="AE114" s="1"/>
  <c r="AG114" s="1"/>
  <c r="AH114" s="1"/>
  <c r="BH87"/>
  <c r="BH77" s="1"/>
  <c r="AG87"/>
  <c r="AG77" s="1"/>
  <c r="C87"/>
  <c r="C77" s="1"/>
  <c r="AJ74"/>
  <c r="AJ75" s="1"/>
  <c r="H114" i="11"/>
  <c r="H118" s="1"/>
  <c r="AE9" i="8"/>
  <c r="AE87" s="1"/>
  <c r="AE77" s="1"/>
  <c r="G37"/>
  <c r="V74"/>
  <c r="V76" s="1"/>
  <c r="AD74" i="9"/>
  <c r="AM74" i="10"/>
  <c r="AM76" s="1"/>
  <c r="T87"/>
  <c r="T77" s="1"/>
  <c r="F74" i="9"/>
  <c r="F76" s="1"/>
  <c r="BH87"/>
  <c r="BH77" s="1"/>
  <c r="AV87"/>
  <c r="AV77" s="1"/>
  <c r="DS36" i="5"/>
  <c r="CP63"/>
  <c r="AB81" i="10"/>
  <c r="BJ75"/>
  <c r="BI74" i="9"/>
  <c r="BI75" s="1"/>
  <c r="AY74"/>
  <c r="AY75" s="1"/>
  <c r="F74" i="10"/>
  <c r="F75" s="1"/>
  <c r="AE37" i="9"/>
  <c r="BE74" i="10"/>
  <c r="BE76" s="1"/>
  <c r="AS74"/>
  <c r="AS75" s="1"/>
  <c r="DQ114" i="11"/>
  <c r="C87" i="8"/>
  <c r="C77" s="1"/>
  <c r="P74" i="10"/>
  <c r="P76" s="1"/>
  <c r="J74" i="9"/>
  <c r="J75" s="1"/>
  <c r="BG8" i="5"/>
  <c r="CD63"/>
  <c r="N74" i="8"/>
  <c r="N75" s="1"/>
  <c r="AW117"/>
  <c r="CE117" s="1"/>
  <c r="AJ74"/>
  <c r="K46" i="5"/>
  <c r="BI46" s="1"/>
  <c r="BP87"/>
  <c r="DN63"/>
  <c r="BR63"/>
  <c r="DN12" i="11"/>
  <c r="DN76" s="1"/>
  <c r="BI75" i="8"/>
  <c r="DP12" i="11"/>
  <c r="DP75" s="1"/>
  <c r="BI76" i="8"/>
  <c r="J75" i="10"/>
  <c r="H76" i="9"/>
  <c r="BH75" i="8"/>
  <c r="BH76"/>
  <c r="BI76" i="10"/>
  <c r="BI75"/>
  <c r="P75" i="8"/>
  <c r="P76"/>
  <c r="AV75"/>
  <c r="AV76"/>
  <c r="AY75"/>
  <c r="AS76" i="5"/>
  <c r="AS66" s="1"/>
  <c r="AS63"/>
  <c r="BJ80"/>
  <c r="F114" i="10"/>
  <c r="G114" s="1"/>
  <c r="H114" s="1"/>
  <c r="AI114"/>
  <c r="BC63" i="5"/>
  <c r="DV90"/>
  <c r="E87"/>
  <c r="DU68"/>
  <c r="DV68"/>
  <c r="E67"/>
  <c r="BB81"/>
  <c r="F80"/>
  <c r="BB80" s="1"/>
  <c r="T87"/>
  <c r="BP90"/>
  <c r="J65"/>
  <c r="CU65"/>
  <c r="BW65"/>
  <c r="G91" i="8"/>
  <c r="AF91" s="1"/>
  <c r="BH87"/>
  <c r="BH77" s="1"/>
  <c r="AV87"/>
  <c r="AV77" s="1"/>
  <c r="AJ87"/>
  <c r="AJ77" s="1"/>
  <c r="BE76"/>
  <c r="AF10"/>
  <c r="T76"/>
  <c r="AB94" i="9"/>
  <c r="G91"/>
  <c r="AF91" s="1"/>
  <c r="J87"/>
  <c r="J77" s="1"/>
  <c r="AC76"/>
  <c r="N76"/>
  <c r="AB84" i="10"/>
  <c r="P87"/>
  <c r="P77" s="1"/>
  <c r="H87"/>
  <c r="H77" s="1"/>
  <c r="AP76"/>
  <c r="N76"/>
  <c r="G9" i="9"/>
  <c r="AF9" s="1"/>
  <c r="C74" i="8"/>
  <c r="C75" s="1"/>
  <c r="BH74" i="9"/>
  <c r="AV74"/>
  <c r="E74" i="10"/>
  <c r="DU37" i="11"/>
  <c r="F74" i="8"/>
  <c r="BL117"/>
  <c r="BN117" s="1"/>
  <c r="AT117"/>
  <c r="CZ117" s="1"/>
  <c r="AH117"/>
  <c r="CN117" s="1"/>
  <c r="AE117"/>
  <c r="BM117" s="1"/>
  <c r="BF117"/>
  <c r="BC117"/>
  <c r="AZ117"/>
  <c r="DF117" s="1"/>
  <c r="AK117"/>
  <c r="BS117" s="1"/>
  <c r="AN117"/>
  <c r="CT117" s="1"/>
  <c r="AQ117"/>
  <c r="BY117" s="1"/>
  <c r="AB117"/>
  <c r="CH117" s="1"/>
  <c r="BJ117"/>
  <c r="BB46" i="5"/>
  <c r="L8"/>
  <c r="DR8"/>
  <c r="AL114" i="9"/>
  <c r="I114"/>
  <c r="J114" s="1"/>
  <c r="K114" s="1"/>
  <c r="AO114" s="1"/>
  <c r="BI88" i="10"/>
  <c r="AU115" i="8"/>
  <c r="AV115" s="1"/>
  <c r="S115"/>
  <c r="T115" s="1"/>
  <c r="AX115" s="1"/>
  <c r="X94" i="11"/>
  <c r="T91"/>
  <c r="BV91" s="1"/>
  <c r="BV94"/>
  <c r="AI114" i="8"/>
  <c r="DT46" i="5"/>
  <c r="AZ36"/>
  <c r="G36"/>
  <c r="O28"/>
  <c r="BO28" s="1"/>
  <c r="K26"/>
  <c r="BI26" s="1"/>
  <c r="BB37"/>
  <c r="F36"/>
  <c r="DU90"/>
  <c r="BA46"/>
  <c r="Q28"/>
  <c r="Q26" s="1"/>
  <c r="DS65"/>
  <c r="AB101" i="8"/>
  <c r="AB78"/>
  <c r="AD87"/>
  <c r="AD77" s="1"/>
  <c r="V87"/>
  <c r="V77" s="1"/>
  <c r="N87"/>
  <c r="N77" s="1"/>
  <c r="BI87" i="9"/>
  <c r="BI77" s="1"/>
  <c r="AB78" i="10"/>
  <c r="BH76"/>
  <c r="C76"/>
  <c r="AE37"/>
  <c r="G114" i="11"/>
  <c r="G118" s="1"/>
  <c r="G37" i="10"/>
  <c r="AF37" s="1"/>
  <c r="BJ74" i="9"/>
  <c r="BB74"/>
  <c r="AP74"/>
  <c r="AU116" i="8"/>
  <c r="AV116" s="1"/>
  <c r="S116"/>
  <c r="T116" s="1"/>
  <c r="AX116" s="1"/>
  <c r="BJ87" i="11"/>
  <c r="L77"/>
  <c r="L46" i="5"/>
  <c r="H36"/>
  <c r="O25"/>
  <c r="BO25" s="1"/>
  <c r="BQ12" i="11"/>
  <c r="BQ76" s="1"/>
  <c r="AJ76" i="8"/>
  <c r="T87" i="11"/>
  <c r="BV87" s="1"/>
  <c r="BC118"/>
  <c r="AK12" i="8"/>
  <c r="AN12" s="1"/>
  <c r="AQ12" s="1"/>
  <c r="AT12" s="1"/>
  <c r="AW12" s="1"/>
  <c r="AZ12" s="1"/>
  <c r="BC12" s="1"/>
  <c r="BF12" s="1"/>
  <c r="AJ75"/>
  <c r="DR118" i="11"/>
  <c r="BD118"/>
  <c r="DQ118"/>
  <c r="Z74" i="10"/>
  <c r="Z75" s="1"/>
  <c r="AD75" i="8"/>
  <c r="AD76"/>
  <c r="F76" i="10"/>
  <c r="AM74" i="9"/>
  <c r="G9" i="10"/>
  <c r="AU117" i="9"/>
  <c r="AU115" i="10"/>
  <c r="AU116"/>
  <c r="AU117"/>
  <c r="AU115" i="9"/>
  <c r="AU116"/>
  <c r="S91" i="11"/>
  <c r="BU91" s="1"/>
  <c r="W94"/>
  <c r="BU94"/>
  <c r="BZ94"/>
  <c r="BT91"/>
  <c r="BY94"/>
  <c r="BS91"/>
  <c r="E75" i="10"/>
  <c r="E76"/>
  <c r="AC74"/>
  <c r="AC87"/>
  <c r="AC77" s="1"/>
  <c r="BL38" i="9"/>
  <c r="D37"/>
  <c r="G37"/>
  <c r="Z76" i="8"/>
  <c r="J75"/>
  <c r="J76"/>
  <c r="V75"/>
  <c r="D47"/>
  <c r="BL10"/>
  <c r="D9"/>
  <c r="BT87" i="11"/>
  <c r="BT77" s="1"/>
  <c r="J114"/>
  <c r="I114"/>
  <c r="G114" i="8"/>
  <c r="BL10" i="10"/>
  <c r="D9"/>
  <c r="DO75" i="11"/>
  <c r="DO76"/>
  <c r="DO118"/>
  <c r="DH75"/>
  <c r="DH76"/>
  <c r="CU75"/>
  <c r="CU76"/>
  <c r="CJ75"/>
  <c r="CJ76"/>
  <c r="BW75"/>
  <c r="BW76"/>
  <c r="BL75"/>
  <c r="BL76"/>
  <c r="BG12"/>
  <c r="BC75"/>
  <c r="BC76"/>
  <c r="DR75"/>
  <c r="DR76"/>
  <c r="DM75"/>
  <c r="DM76"/>
  <c r="DB76"/>
  <c r="DB75"/>
  <c r="CO76"/>
  <c r="CO75"/>
  <c r="CD76"/>
  <c r="CD75"/>
  <c r="BF76"/>
  <c r="BF75"/>
  <c r="DS12"/>
  <c r="AY76"/>
  <c r="AY118"/>
  <c r="AY75"/>
  <c r="AE74" i="8"/>
  <c r="BF114" i="11"/>
  <c r="BE114"/>
  <c r="DG75"/>
  <c r="DG76"/>
  <c r="CV75"/>
  <c r="CV76"/>
  <c r="CI75"/>
  <c r="CI76"/>
  <c r="BX75"/>
  <c r="BX76"/>
  <c r="BK75"/>
  <c r="BK76"/>
  <c r="BH12"/>
  <c r="BD75"/>
  <c r="BD76"/>
  <c r="DQ76"/>
  <c r="DQ75"/>
  <c r="DA75"/>
  <c r="DA76"/>
  <c r="CP75"/>
  <c r="CP76"/>
  <c r="CC75"/>
  <c r="CC76"/>
  <c r="BR75"/>
  <c r="BR76"/>
  <c r="BE75"/>
  <c r="BE76"/>
  <c r="DT12"/>
  <c r="AZ75"/>
  <c r="AZ76"/>
  <c r="AZ118"/>
  <c r="D47" i="10"/>
  <c r="BU87" i="11"/>
  <c r="S77"/>
  <c r="CH11"/>
  <c r="AF11"/>
  <c r="AB10"/>
  <c r="AE15"/>
  <c r="CG15"/>
  <c r="AE16"/>
  <c r="CG16"/>
  <c r="CB38"/>
  <c r="X37"/>
  <c r="CB37" s="1"/>
  <c r="CG92"/>
  <c r="AE92"/>
  <c r="CK39"/>
  <c r="CE38"/>
  <c r="CE37" s="1"/>
  <c r="CQ55"/>
  <c r="CK47"/>
  <c r="CG85"/>
  <c r="AE85"/>
  <c r="CA86"/>
  <c r="AA86"/>
  <c r="AA84" s="1"/>
  <c r="CG84" s="1"/>
  <c r="CL11"/>
  <c r="CF10"/>
  <c r="CG29"/>
  <c r="AE29"/>
  <c r="CH30"/>
  <c r="AF30"/>
  <c r="CH31"/>
  <c r="AF31"/>
  <c r="CH32"/>
  <c r="AF32"/>
  <c r="CH33"/>
  <c r="AF33"/>
  <c r="CH34"/>
  <c r="AF34"/>
  <c r="CH35"/>
  <c r="AF35"/>
  <c r="CH36"/>
  <c r="AF36"/>
  <c r="CL79"/>
  <c r="CF78"/>
  <c r="CG82"/>
  <c r="AE82"/>
  <c r="AA81"/>
  <c r="CG81" s="1"/>
  <c r="CB86"/>
  <c r="AB86"/>
  <c r="AB84" s="1"/>
  <c r="CH84" s="1"/>
  <c r="CH55"/>
  <c r="AF55"/>
  <c r="AB47"/>
  <c r="CH47" s="1"/>
  <c r="DU87"/>
  <c r="BA87"/>
  <c r="E77"/>
  <c r="CA38"/>
  <c r="W37"/>
  <c r="CA37" s="1"/>
  <c r="CL82"/>
  <c r="CF81"/>
  <c r="CG79"/>
  <c r="AE79"/>
  <c r="AA78"/>
  <c r="T74"/>
  <c r="BV9"/>
  <c r="CK11"/>
  <c r="CE10"/>
  <c r="CH79"/>
  <c r="AF79"/>
  <c r="AB78"/>
  <c r="CF86"/>
  <c r="CG101"/>
  <c r="AE101"/>
  <c r="CM103"/>
  <c r="AI103"/>
  <c r="CM104"/>
  <c r="AI104"/>
  <c r="CM105"/>
  <c r="AI105"/>
  <c r="CM106"/>
  <c r="AI106"/>
  <c r="CM107"/>
  <c r="AI107"/>
  <c r="CM108"/>
  <c r="AI108"/>
  <c r="CH82"/>
  <c r="AF82"/>
  <c r="AB81"/>
  <c r="CH81" s="1"/>
  <c r="CG93"/>
  <c r="AE93"/>
  <c r="CN103"/>
  <c r="AJ103"/>
  <c r="CN104"/>
  <c r="AJ104"/>
  <c r="CN105"/>
  <c r="AJ105"/>
  <c r="CN106"/>
  <c r="AJ106"/>
  <c r="CN107"/>
  <c r="AJ107"/>
  <c r="CG95"/>
  <c r="AE95"/>
  <c r="CG96"/>
  <c r="AE96"/>
  <c r="CG97"/>
  <c r="AE97"/>
  <c r="CG98"/>
  <c r="AE98"/>
  <c r="CG99"/>
  <c r="AE99"/>
  <c r="CG100"/>
  <c r="AE100"/>
  <c r="CM102"/>
  <c r="AI102"/>
  <c r="CA10"/>
  <c r="W9"/>
  <c r="CL39"/>
  <c r="CF38"/>
  <c r="CF37" s="1"/>
  <c r="CR55"/>
  <c r="CL47"/>
  <c r="CH85"/>
  <c r="AF85"/>
  <c r="CH95"/>
  <c r="AF95"/>
  <c r="CH96"/>
  <c r="AF96"/>
  <c r="CH97"/>
  <c r="AF97"/>
  <c r="CH98"/>
  <c r="AF98"/>
  <c r="CH99"/>
  <c r="AF99"/>
  <c r="CH100"/>
  <c r="AF100"/>
  <c r="CN102"/>
  <c r="AJ102"/>
  <c r="CH56"/>
  <c r="AF56"/>
  <c r="CH58"/>
  <c r="AF58"/>
  <c r="CH61"/>
  <c r="AF61"/>
  <c r="CH80"/>
  <c r="AF80"/>
  <c r="BS87"/>
  <c r="BS77" s="1"/>
  <c r="CB10"/>
  <c r="X9"/>
  <c r="O75"/>
  <c r="O76"/>
  <c r="CH39"/>
  <c r="AF39"/>
  <c r="AB38"/>
  <c r="CH83"/>
  <c r="AF83"/>
  <c r="CG80"/>
  <c r="AE80"/>
  <c r="CG28"/>
  <c r="AE28"/>
  <c r="AA27"/>
  <c r="CG27" s="1"/>
  <c r="BZ9"/>
  <c r="BZ74" s="1"/>
  <c r="S74"/>
  <c r="BU9"/>
  <c r="CG55"/>
  <c r="AE55"/>
  <c r="AA47"/>
  <c r="CG47" s="1"/>
  <c r="CH93"/>
  <c r="AF93"/>
  <c r="CK92"/>
  <c r="CB101"/>
  <c r="AB101"/>
  <c r="CH12"/>
  <c r="AF12"/>
  <c r="CH13"/>
  <c r="AF13"/>
  <c r="CH14"/>
  <c r="AF14"/>
  <c r="CH17"/>
  <c r="AF17"/>
  <c r="CH18"/>
  <c r="AF18"/>
  <c r="CH19"/>
  <c r="AF19"/>
  <c r="CH20"/>
  <c r="AF20"/>
  <c r="CH21"/>
  <c r="AF21"/>
  <c r="CH22"/>
  <c r="AF22"/>
  <c r="CH23"/>
  <c r="AF23"/>
  <c r="CH24"/>
  <c r="AF24"/>
  <c r="CH25"/>
  <c r="AF25"/>
  <c r="CH26"/>
  <c r="AF26"/>
  <c r="CG12"/>
  <c r="AE12"/>
  <c r="CG13"/>
  <c r="AE13"/>
  <c r="CG14"/>
  <c r="AE14"/>
  <c r="CG17"/>
  <c r="AE17"/>
  <c r="CG18"/>
  <c r="AE18"/>
  <c r="CG19"/>
  <c r="AE19"/>
  <c r="CG20"/>
  <c r="AE20"/>
  <c r="CG21"/>
  <c r="AE21"/>
  <c r="CG22"/>
  <c r="AE22"/>
  <c r="CG23"/>
  <c r="AE23"/>
  <c r="CG24"/>
  <c r="AE24"/>
  <c r="CG25"/>
  <c r="AE25"/>
  <c r="CG26"/>
  <c r="AE26"/>
  <c r="E75"/>
  <c r="E76"/>
  <c r="CG39"/>
  <c r="AE39"/>
  <c r="AA38"/>
  <c r="CA78"/>
  <c r="CK85"/>
  <c r="CH29"/>
  <c r="AF29"/>
  <c r="BY9"/>
  <c r="BY74" s="1"/>
  <c r="CG40"/>
  <c r="AE40"/>
  <c r="CG42"/>
  <c r="AE42"/>
  <c r="CG43"/>
  <c r="AE43"/>
  <c r="CG44"/>
  <c r="AE44"/>
  <c r="CG45"/>
  <c r="AE45"/>
  <c r="CG53"/>
  <c r="AE53"/>
  <c r="CB78"/>
  <c r="CL85"/>
  <c r="CF84"/>
  <c r="CK82"/>
  <c r="CE81"/>
  <c r="CH28"/>
  <c r="AF28"/>
  <c r="AB27"/>
  <c r="CH27" s="1"/>
  <c r="CH40"/>
  <c r="AF40"/>
  <c r="CH42"/>
  <c r="AF42"/>
  <c r="CH43"/>
  <c r="AF43"/>
  <c r="CH44"/>
  <c r="AF44"/>
  <c r="CH45"/>
  <c r="AF45"/>
  <c r="CH53"/>
  <c r="AF53"/>
  <c r="CG30"/>
  <c r="AE30"/>
  <c r="CG31"/>
  <c r="AE31"/>
  <c r="CG32"/>
  <c r="AE32"/>
  <c r="CG33"/>
  <c r="AE33"/>
  <c r="CG34"/>
  <c r="AE34"/>
  <c r="CG35"/>
  <c r="AE35"/>
  <c r="CG36"/>
  <c r="AE36"/>
  <c r="CL92"/>
  <c r="CK79"/>
  <c r="CE78"/>
  <c r="P75"/>
  <c r="P76"/>
  <c r="CG11"/>
  <c r="AE11"/>
  <c r="AA10"/>
  <c r="CG56"/>
  <c r="AE56"/>
  <c r="CG58"/>
  <c r="AE58"/>
  <c r="CG61"/>
  <c r="AE61"/>
  <c r="CV8"/>
  <c r="CX8" s="1"/>
  <c r="CT8"/>
  <c r="CL28"/>
  <c r="CF27"/>
  <c r="CU8"/>
  <c r="CW8" s="1"/>
  <c r="CS8"/>
  <c r="CK28"/>
  <c r="CE27"/>
  <c r="CH92"/>
  <c r="AF92"/>
  <c r="CG83"/>
  <c r="AE83"/>
  <c r="CE86"/>
  <c r="CN109"/>
  <c r="AJ109"/>
  <c r="CN110"/>
  <c r="AJ110"/>
  <c r="CN111"/>
  <c r="AJ111"/>
  <c r="CN112"/>
  <c r="AJ112"/>
  <c r="CM109"/>
  <c r="AI109"/>
  <c r="CM110"/>
  <c r="AI110"/>
  <c r="CM111"/>
  <c r="AI111"/>
  <c r="CM112"/>
  <c r="AI112"/>
  <c r="CH108"/>
  <c r="AF108"/>
  <c r="X84"/>
  <c r="CB84" s="1"/>
  <c r="AL112" i="10"/>
  <c r="M112"/>
  <c r="AL110"/>
  <c r="M110"/>
  <c r="AL108"/>
  <c r="M108"/>
  <c r="AL105"/>
  <c r="M105"/>
  <c r="AL104"/>
  <c r="M104"/>
  <c r="AL103"/>
  <c r="M103"/>
  <c r="AL102"/>
  <c r="M102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K94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5"/>
  <c r="K15"/>
  <c r="AI13"/>
  <c r="K13"/>
  <c r="AI11"/>
  <c r="K11"/>
  <c r="I10"/>
  <c r="AN85"/>
  <c r="AN82"/>
  <c r="AK81"/>
  <c r="AN79"/>
  <c r="AK78"/>
  <c r="AN55"/>
  <c r="AK47"/>
  <c r="AN39"/>
  <c r="AK38"/>
  <c r="AN11"/>
  <c r="AK10"/>
  <c r="AP8"/>
  <c r="AQ8" s="1"/>
  <c r="AO8"/>
  <c r="AN28"/>
  <c r="AK27"/>
  <c r="AH91"/>
  <c r="AI128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6"/>
  <c r="K16"/>
  <c r="AI14"/>
  <c r="K14"/>
  <c r="AI12"/>
  <c r="K12"/>
  <c r="AH9"/>
  <c r="AH84"/>
  <c r="AH37"/>
  <c r="AI131" i="9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4"/>
  <c r="K14"/>
  <c r="AI12"/>
  <c r="K12"/>
  <c r="AA75"/>
  <c r="AH9"/>
  <c r="AN28"/>
  <c r="AK27"/>
  <c r="AH37"/>
  <c r="AL112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D118"/>
  <c r="AE118" s="1"/>
  <c r="AG114"/>
  <c r="AH114" s="1"/>
  <c r="AI94"/>
  <c r="K94"/>
  <c r="AL16"/>
  <c r="M16"/>
  <c r="AL15"/>
  <c r="M15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3"/>
  <c r="K13"/>
  <c r="AI11"/>
  <c r="K11"/>
  <c r="I10"/>
  <c r="AN85"/>
  <c r="AN82"/>
  <c r="AK81"/>
  <c r="AN79"/>
  <c r="AK78"/>
  <c r="AN55"/>
  <c r="AK47"/>
  <c r="AN39"/>
  <c r="AK38"/>
  <c r="AN11"/>
  <c r="AK10"/>
  <c r="AP8"/>
  <c r="AQ8" s="1"/>
  <c r="AO8"/>
  <c r="AH91"/>
  <c r="AL112" i="8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I94"/>
  <c r="K94"/>
  <c r="AD118"/>
  <c r="AE118" s="1"/>
  <c r="AG114"/>
  <c r="AH114" s="1"/>
  <c r="AI26"/>
  <c r="K26"/>
  <c r="AI25"/>
  <c r="K25"/>
  <c r="AA75"/>
  <c r="AN11"/>
  <c r="AK10"/>
  <c r="AH84"/>
  <c r="AH37"/>
  <c r="AI131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I36"/>
  <c r="K36"/>
  <c r="AI35"/>
  <c r="K35"/>
  <c r="AI34"/>
  <c r="K34"/>
  <c r="AI33"/>
  <c r="K33"/>
  <c r="AI32"/>
  <c r="K32"/>
  <c r="AI31"/>
  <c r="K31"/>
  <c r="AI30"/>
  <c r="K30"/>
  <c r="AI29"/>
  <c r="K29"/>
  <c r="AI28"/>
  <c r="K28"/>
  <c r="I27"/>
  <c r="AI27" s="1"/>
  <c r="AI24"/>
  <c r="K24"/>
  <c r="AI23"/>
  <c r="K23"/>
  <c r="AI22"/>
  <c r="K22"/>
  <c r="AI21"/>
  <c r="K21"/>
  <c r="AI20"/>
  <c r="K20"/>
  <c r="AI19"/>
  <c r="K19"/>
  <c r="AI18"/>
  <c r="K18"/>
  <c r="AI17"/>
  <c r="K17"/>
  <c r="AI14"/>
  <c r="K14"/>
  <c r="AI13"/>
  <c r="K13"/>
  <c r="AI12"/>
  <c r="K12"/>
  <c r="AI11"/>
  <c r="K11"/>
  <c r="I10"/>
  <c r="AN85"/>
  <c r="AN82"/>
  <c r="AK81"/>
  <c r="AN79"/>
  <c r="AK78"/>
  <c r="AN55"/>
  <c r="AK47"/>
  <c r="AN39"/>
  <c r="AK38"/>
  <c r="BK114"/>
  <c r="BK87"/>
  <c r="AA77"/>
  <c r="AA88" s="1"/>
  <c r="AN28"/>
  <c r="AK27"/>
  <c r="AP8"/>
  <c r="AQ8" s="1"/>
  <c r="AO8"/>
  <c r="M16"/>
  <c r="AL16"/>
  <c r="M15"/>
  <c r="AL15"/>
  <c r="AH9"/>
  <c r="Y15" i="5"/>
  <c r="AG15" s="1"/>
  <c r="AK15" s="1"/>
  <c r="Y21"/>
  <c r="AG21" s="1"/>
  <c r="AK21" s="1"/>
  <c r="Y18"/>
  <c r="AG18" s="1"/>
  <c r="AK18" s="1"/>
  <c r="BO111"/>
  <c r="S111"/>
  <c r="CB96"/>
  <c r="AB96"/>
  <c r="CB90"/>
  <c r="AB90"/>
  <c r="CA88"/>
  <c r="AA88"/>
  <c r="BO86"/>
  <c r="S86"/>
  <c r="CB88"/>
  <c r="AB88"/>
  <c r="BV87"/>
  <c r="X87"/>
  <c r="BP85"/>
  <c r="T85"/>
  <c r="BP82"/>
  <c r="T82"/>
  <c r="BP74"/>
  <c r="T74"/>
  <c r="P73"/>
  <c r="BO71"/>
  <c r="S71"/>
  <c r="O70"/>
  <c r="BO70" s="1"/>
  <c r="BO68"/>
  <c r="S68"/>
  <c r="O67"/>
  <c r="BE99"/>
  <c r="BG99" s="1"/>
  <c r="BG98"/>
  <c r="BI98" s="1"/>
  <c r="BK98" s="1"/>
  <c r="BO85"/>
  <c r="S85"/>
  <c r="BO82"/>
  <c r="S82"/>
  <c r="BM73"/>
  <c r="BS74"/>
  <c r="O73"/>
  <c r="BO74"/>
  <c r="S74"/>
  <c r="BN70"/>
  <c r="BT71"/>
  <c r="BP54"/>
  <c r="T54"/>
  <c r="P46"/>
  <c r="BP46" s="1"/>
  <c r="BP83"/>
  <c r="T83"/>
  <c r="BO81"/>
  <c r="S81"/>
  <c r="O80"/>
  <c r="X72"/>
  <c r="BV72"/>
  <c r="W69"/>
  <c r="BU69"/>
  <c r="BV68"/>
  <c r="X68"/>
  <c r="BO57"/>
  <c r="S57"/>
  <c r="DU43"/>
  <c r="BA43"/>
  <c r="DV43"/>
  <c r="BT81"/>
  <c r="BN80"/>
  <c r="BZ74"/>
  <c r="BY68"/>
  <c r="BS67"/>
  <c r="BO42"/>
  <c r="S42"/>
  <c r="BO39"/>
  <c r="S39"/>
  <c r="BP34"/>
  <c r="T34"/>
  <c r="AL26"/>
  <c r="BO27"/>
  <c r="S27"/>
  <c r="BO23"/>
  <c r="S23"/>
  <c r="BO16"/>
  <c r="S16"/>
  <c r="BO60"/>
  <c r="S60"/>
  <c r="W52"/>
  <c r="BU52"/>
  <c r="BP39"/>
  <c r="T39"/>
  <c r="BO34"/>
  <c r="S34"/>
  <c r="BO29"/>
  <c r="S29"/>
  <c r="BP27"/>
  <c r="T27"/>
  <c r="P26"/>
  <c r="BP26" s="1"/>
  <c r="BP23"/>
  <c r="T23"/>
  <c r="T21"/>
  <c r="BP21"/>
  <c r="BI21"/>
  <c r="O21"/>
  <c r="BP18"/>
  <c r="T18"/>
  <c r="BI18"/>
  <c r="O18"/>
  <c r="T16"/>
  <c r="BP16"/>
  <c r="BI14"/>
  <c r="O14"/>
  <c r="X13"/>
  <c r="BV13"/>
  <c r="BO13"/>
  <c r="S13"/>
  <c r="S54"/>
  <c r="O46"/>
  <c r="BO46" s="1"/>
  <c r="BO54"/>
  <c r="P9"/>
  <c r="BP10"/>
  <c r="T10"/>
  <c r="BI10"/>
  <c r="O10"/>
  <c r="K9"/>
  <c r="S38"/>
  <c r="O37"/>
  <c r="X35"/>
  <c r="BV35"/>
  <c r="BU32"/>
  <c r="W32"/>
  <c r="BY27"/>
  <c r="BS26"/>
  <c r="AL9"/>
  <c r="BZ27"/>
  <c r="BT26"/>
  <c r="BY10"/>
  <c r="BS9"/>
  <c r="CC7"/>
  <c r="CE7" s="1"/>
  <c r="CA7"/>
  <c r="BN8"/>
  <c r="CD7"/>
  <c r="CF7" s="1"/>
  <c r="CB7"/>
  <c r="BV90"/>
  <c r="BI80"/>
  <c r="AK32"/>
  <c r="AO32" s="1"/>
  <c r="U20"/>
  <c r="Q14"/>
  <c r="U14" s="1"/>
  <c r="AO34"/>
  <c r="E34" s="1"/>
  <c r="AP30"/>
  <c r="F30" s="1"/>
  <c r="BB30" s="1"/>
  <c r="Y30"/>
  <c r="U25"/>
  <c r="U22"/>
  <c r="Y22" s="1"/>
  <c r="Q19"/>
  <c r="U19" s="1"/>
  <c r="Y19" s="1"/>
  <c r="U17"/>
  <c r="AG16"/>
  <c r="AK16" s="1"/>
  <c r="U12"/>
  <c r="Y12" s="1"/>
  <c r="AP32"/>
  <c r="F32" s="1"/>
  <c r="BB32" s="1"/>
  <c r="Y24"/>
  <c r="AX65"/>
  <c r="AH65"/>
  <c r="Z65"/>
  <c r="AP19"/>
  <c r="F19" s="1"/>
  <c r="BB19" s="1"/>
  <c r="AP13"/>
  <c r="F13" s="1"/>
  <c r="BB13" s="1"/>
  <c r="BP111"/>
  <c r="T111"/>
  <c r="BU96"/>
  <c r="W96"/>
  <c r="BU95"/>
  <c r="W95"/>
  <c r="BU94"/>
  <c r="W94"/>
  <c r="BU93"/>
  <c r="W93"/>
  <c r="BU92"/>
  <c r="W92"/>
  <c r="CB94"/>
  <c r="AB94"/>
  <c r="CB92"/>
  <c r="AB92"/>
  <c r="BV89"/>
  <c r="X89"/>
  <c r="BU91"/>
  <c r="W91"/>
  <c r="S90"/>
  <c r="O87"/>
  <c r="BO90"/>
  <c r="BU89"/>
  <c r="W89"/>
  <c r="BP86"/>
  <c r="T86"/>
  <c r="BP84"/>
  <c r="T84"/>
  <c r="BT75"/>
  <c r="BP75"/>
  <c r="T75"/>
  <c r="AB95"/>
  <c r="CB95"/>
  <c r="AB93"/>
  <c r="CB93"/>
  <c r="BO84"/>
  <c r="S84"/>
  <c r="BP81"/>
  <c r="T81"/>
  <c r="P80"/>
  <c r="BS75"/>
  <c r="BO75"/>
  <c r="S75"/>
  <c r="BO72"/>
  <c r="S72"/>
  <c r="P70"/>
  <c r="BP70" s="1"/>
  <c r="BP71"/>
  <c r="T71"/>
  <c r="BP69"/>
  <c r="T69"/>
  <c r="P67"/>
  <c r="AB91"/>
  <c r="CB91"/>
  <c r="BS81"/>
  <c r="BM80"/>
  <c r="DS67"/>
  <c r="BF99"/>
  <c r="BH99" s="1"/>
  <c r="BH98"/>
  <c r="BJ98" s="1"/>
  <c r="BL98" s="1"/>
  <c r="BP60"/>
  <c r="T60"/>
  <c r="T55"/>
  <c r="BP55"/>
  <c r="BP52"/>
  <c r="T52"/>
  <c r="BO44"/>
  <c r="S44"/>
  <c r="BO43"/>
  <c r="S43"/>
  <c r="BO83"/>
  <c r="S83"/>
  <c r="BP38"/>
  <c r="T38"/>
  <c r="P37"/>
  <c r="BP33"/>
  <c r="T33"/>
  <c r="BO31"/>
  <c r="S31"/>
  <c r="BP29"/>
  <c r="T29"/>
  <c r="BV28"/>
  <c r="X28"/>
  <c r="BO24"/>
  <c r="S24"/>
  <c r="BP19"/>
  <c r="T19"/>
  <c r="BO55"/>
  <c r="S55"/>
  <c r="BS46"/>
  <c r="BY54"/>
  <c r="BP42"/>
  <c r="T42"/>
  <c r="BO41"/>
  <c r="S41"/>
  <c r="BM38"/>
  <c r="BG37"/>
  <c r="BG36" s="1"/>
  <c r="BO35"/>
  <c r="S35"/>
  <c r="BO33"/>
  <c r="S33"/>
  <c r="BP32"/>
  <c r="T32"/>
  <c r="BP31"/>
  <c r="T31"/>
  <c r="BO30"/>
  <c r="S30"/>
  <c r="T22"/>
  <c r="BP22"/>
  <c r="BI22"/>
  <c r="O22"/>
  <c r="T17"/>
  <c r="BP17"/>
  <c r="BI17"/>
  <c r="O17"/>
  <c r="BI15"/>
  <c r="O15"/>
  <c r="BP12"/>
  <c r="T12"/>
  <c r="O12"/>
  <c r="BI12"/>
  <c r="BV57"/>
  <c r="X57"/>
  <c r="BZ54"/>
  <c r="BT46"/>
  <c r="BT36" s="1"/>
  <c r="X44"/>
  <c r="BV44"/>
  <c r="X43"/>
  <c r="BV43"/>
  <c r="DV81"/>
  <c r="DU81"/>
  <c r="BA81"/>
  <c r="E80"/>
  <c r="S11"/>
  <c r="BO11"/>
  <c r="Q10"/>
  <c r="M9"/>
  <c r="X41"/>
  <c r="BV41"/>
  <c r="CF38"/>
  <c r="BZ37"/>
  <c r="X30"/>
  <c r="BV30"/>
  <c r="AB24"/>
  <c r="CB24"/>
  <c r="BP11"/>
  <c r="T11"/>
  <c r="DU37"/>
  <c r="BA37"/>
  <c r="E36"/>
  <c r="DV37"/>
  <c r="AB25"/>
  <c r="CB25"/>
  <c r="X20"/>
  <c r="BV20"/>
  <c r="BM8"/>
  <c r="BT9"/>
  <c r="BZ10"/>
  <c r="BN73"/>
  <c r="Y20"/>
  <c r="O20"/>
  <c r="O19"/>
  <c r="AP28"/>
  <c r="AP22"/>
  <c r="F22" s="1"/>
  <c r="BB22" s="1"/>
  <c r="AP21"/>
  <c r="F21" s="1"/>
  <c r="BB21" s="1"/>
  <c r="AP18"/>
  <c r="F18" s="1"/>
  <c r="BB18" s="1"/>
  <c r="AP17"/>
  <c r="F17" s="1"/>
  <c r="BB17" s="1"/>
  <c r="AP16"/>
  <c r="F16" s="1"/>
  <c r="BB16" s="1"/>
  <c r="U13"/>
  <c r="AD65"/>
  <c r="BI38"/>
  <c r="AP25"/>
  <c r="F25" s="1"/>
  <c r="BB25" s="1"/>
  <c r="AP24"/>
  <c r="F24" s="1"/>
  <c r="BB24" s="1"/>
  <c r="AP12"/>
  <c r="F12" s="1"/>
  <c r="BB12" s="1"/>
  <c r="BN36"/>
  <c r="AP10"/>
  <c r="BP87" i="11" l="1"/>
  <c r="P77"/>
  <c r="BI76" i="9"/>
  <c r="AM75" i="8"/>
  <c r="AM76"/>
  <c r="AG75" i="10"/>
  <c r="G74" i="9"/>
  <c r="AM75" i="10"/>
  <c r="D63" i="5"/>
  <c r="D65" s="1"/>
  <c r="D76"/>
  <c r="AS76" i="8"/>
  <c r="AE87" i="9"/>
  <c r="AE77" s="1"/>
  <c r="AY75" i="10"/>
  <c r="BO87" i="11"/>
  <c r="O77"/>
  <c r="AW63" i="5"/>
  <c r="AW64" s="1"/>
  <c r="AH91" i="8"/>
  <c r="Z76" i="9"/>
  <c r="C76"/>
  <c r="BY71" i="5"/>
  <c r="AL101" i="10"/>
  <c r="AE87"/>
  <c r="AE77" s="1"/>
  <c r="BI88" i="9"/>
  <c r="DO77" i="5"/>
  <c r="H75" i="10"/>
  <c r="T75" i="9"/>
  <c r="X76"/>
  <c r="AW76" i="5"/>
  <c r="AW66" s="1"/>
  <c r="AA87" i="10"/>
  <c r="BK37"/>
  <c r="AK91" i="8"/>
  <c r="BB76" i="10"/>
  <c r="DO65" i="5"/>
  <c r="V64"/>
  <c r="R76" i="9"/>
  <c r="AA74" i="10"/>
  <c r="AA76" s="1"/>
  <c r="I91"/>
  <c r="AI91" s="1"/>
  <c r="BJ88" i="8"/>
  <c r="BD64" i="5"/>
  <c r="DQ65"/>
  <c r="BJ76" i="8"/>
  <c r="BN76" i="5"/>
  <c r="AE74" i="9"/>
  <c r="AE75" s="1"/>
  <c r="R76" i="10"/>
  <c r="H76" i="8"/>
  <c r="AG75" i="9"/>
  <c r="P75" i="10"/>
  <c r="BE75"/>
  <c r="AJ76" i="9"/>
  <c r="X75" i="8"/>
  <c r="AD76" i="10"/>
  <c r="C76" i="5"/>
  <c r="BF64"/>
  <c r="BF65"/>
  <c r="BK114" i="9"/>
  <c r="BL9"/>
  <c r="D74"/>
  <c r="D75" s="1"/>
  <c r="E76"/>
  <c r="BH76" i="5"/>
  <c r="BH66" s="1"/>
  <c r="AV76" i="10"/>
  <c r="BE64" i="5"/>
  <c r="C63"/>
  <c r="C64" s="1"/>
  <c r="BQ64"/>
  <c r="K36"/>
  <c r="BK87" i="9"/>
  <c r="T77" i="11"/>
  <c r="C76" i="8"/>
  <c r="AS76" i="9"/>
  <c r="V76"/>
  <c r="AP76" i="8"/>
  <c r="AY76" i="5"/>
  <c r="AY63"/>
  <c r="BL91" i="8"/>
  <c r="AB91"/>
  <c r="BP80" i="5"/>
  <c r="G74" i="10"/>
  <c r="G76" s="1"/>
  <c r="BE76" i="9"/>
  <c r="R76" i="8"/>
  <c r="L76" i="10"/>
  <c r="AY76" i="9"/>
  <c r="BH63" i="5"/>
  <c r="CI64"/>
  <c r="CI65"/>
  <c r="DU46"/>
  <c r="DV46"/>
  <c r="AC65"/>
  <c r="N76" i="8"/>
  <c r="DP76" i="11"/>
  <c r="R64" i="5"/>
  <c r="R65"/>
  <c r="DN75" i="11"/>
  <c r="DB64" i="5"/>
  <c r="DB65"/>
  <c r="DN64"/>
  <c r="DN65"/>
  <c r="I76"/>
  <c r="I66" s="1"/>
  <c r="CP64"/>
  <c r="CP65"/>
  <c r="AF37" i="8"/>
  <c r="G87"/>
  <c r="S28" i="5"/>
  <c r="U28"/>
  <c r="U26" s="1"/>
  <c r="DP118" i="11"/>
  <c r="F75" i="9"/>
  <c r="G74" i="8"/>
  <c r="G75" s="1"/>
  <c r="AS76" i="10"/>
  <c r="J76" i="9"/>
  <c r="AP26" i="5"/>
  <c r="AJ76" i="10"/>
  <c r="BR64" i="5"/>
  <c r="BR65"/>
  <c r="CD64"/>
  <c r="CD65"/>
  <c r="AD75" i="9"/>
  <c r="AD76"/>
  <c r="AO18" i="5"/>
  <c r="BY87" i="11"/>
  <c r="BY77" s="1"/>
  <c r="Z76" i="10"/>
  <c r="H63" i="5"/>
  <c r="H76"/>
  <c r="H66" s="1"/>
  <c r="AP75" i="9"/>
  <c r="AP76"/>
  <c r="X91" i="11"/>
  <c r="CB91" s="1"/>
  <c r="CB94"/>
  <c r="AB94"/>
  <c r="DR63" i="5"/>
  <c r="DT8"/>
  <c r="DR76"/>
  <c r="DR66" s="1"/>
  <c r="BC64"/>
  <c r="BC65"/>
  <c r="AG12"/>
  <c r="AK12" s="1"/>
  <c r="O26"/>
  <c r="BO26" s="1"/>
  <c r="AE74" i="10"/>
  <c r="BJ46" i="5"/>
  <c r="L36"/>
  <c r="L63" s="1"/>
  <c r="BB75" i="9"/>
  <c r="BB76"/>
  <c r="BB36" i="5"/>
  <c r="G63"/>
  <c r="G76"/>
  <c r="G66" s="1"/>
  <c r="BJ8"/>
  <c r="E18"/>
  <c r="BA18" s="1"/>
  <c r="AO21"/>
  <c r="E21" s="1"/>
  <c r="DV21" s="1"/>
  <c r="AG20"/>
  <c r="AK20" s="1"/>
  <c r="BJ75" i="9"/>
  <c r="BJ76"/>
  <c r="AZ63" i="5"/>
  <c r="AZ76"/>
  <c r="DT36"/>
  <c r="BJ88" i="9"/>
  <c r="F75" i="8"/>
  <c r="F76"/>
  <c r="AV75" i="9"/>
  <c r="AV76"/>
  <c r="DU87" i="5"/>
  <c r="BA87"/>
  <c r="DV87"/>
  <c r="AL114" i="10"/>
  <c r="I114"/>
  <c r="J114" s="1"/>
  <c r="K114" s="1"/>
  <c r="AO114" s="1"/>
  <c r="AG22" i="5"/>
  <c r="AK22" s="1"/>
  <c r="AO22" s="1"/>
  <c r="E32"/>
  <c r="DU32" s="1"/>
  <c r="BO73"/>
  <c r="AH74" i="8"/>
  <c r="AH75" s="1"/>
  <c r="AK37"/>
  <c r="AK37" i="9"/>
  <c r="AH87" i="10"/>
  <c r="AH77" s="1"/>
  <c r="S25" i="5"/>
  <c r="BU25" s="1"/>
  <c r="BH75" i="9"/>
  <c r="BH76"/>
  <c r="DU67" i="5"/>
  <c r="DV67"/>
  <c r="BA67"/>
  <c r="AS64"/>
  <c r="AS65"/>
  <c r="BQ75" i="11"/>
  <c r="AM75" i="9"/>
  <c r="AM76"/>
  <c r="AF9" i="10"/>
  <c r="G87"/>
  <c r="AH87" i="9"/>
  <c r="AH77" s="1"/>
  <c r="U117" i="8"/>
  <c r="U116"/>
  <c r="W116" s="1"/>
  <c r="U115"/>
  <c r="W115" s="1"/>
  <c r="CF94" i="11"/>
  <c r="BZ91"/>
  <c r="AA94"/>
  <c r="CA94"/>
  <c r="W91"/>
  <c r="CA91" s="1"/>
  <c r="CE94"/>
  <c r="BY91"/>
  <c r="AK37" i="10"/>
  <c r="AF37" i="9"/>
  <c r="G87"/>
  <c r="AC75" i="10"/>
  <c r="AC76"/>
  <c r="G75" i="9"/>
  <c r="G76"/>
  <c r="BL37"/>
  <c r="AB37"/>
  <c r="D87"/>
  <c r="BL47" i="8"/>
  <c r="AB47"/>
  <c r="D37"/>
  <c r="D74" s="1"/>
  <c r="BL9"/>
  <c r="AB9"/>
  <c r="BL47" i="10"/>
  <c r="AB47"/>
  <c r="D37"/>
  <c r="D74" s="1"/>
  <c r="BE118" i="11"/>
  <c r="BG118" s="1"/>
  <c r="BG114"/>
  <c r="AE75" i="8"/>
  <c r="AE76"/>
  <c r="BM12" i="11"/>
  <c r="BG76"/>
  <c r="BG75"/>
  <c r="BL9" i="10"/>
  <c r="AB9"/>
  <c r="H114" i="8"/>
  <c r="AL114" s="1"/>
  <c r="J118" i="11"/>
  <c r="L114"/>
  <c r="BJ114" s="1"/>
  <c r="AH87" i="8"/>
  <c r="AH77" s="1"/>
  <c r="BL114" i="11"/>
  <c r="BK114"/>
  <c r="BN12"/>
  <c r="BH76"/>
  <c r="BH75"/>
  <c r="BH114"/>
  <c r="BF118"/>
  <c r="BH118" s="1"/>
  <c r="K114"/>
  <c r="BI114" s="1"/>
  <c r="I118"/>
  <c r="CN108"/>
  <c r="AJ108"/>
  <c r="CS112"/>
  <c r="AM112"/>
  <c r="CS111"/>
  <c r="AM111"/>
  <c r="CS110"/>
  <c r="AM110"/>
  <c r="CS109"/>
  <c r="AM109"/>
  <c r="CT112"/>
  <c r="AN112"/>
  <c r="CT111"/>
  <c r="AN111"/>
  <c r="CT110"/>
  <c r="AN110"/>
  <c r="CT109"/>
  <c r="AN109"/>
  <c r="CK86"/>
  <c r="CM83"/>
  <c r="AI83"/>
  <c r="CQ28"/>
  <c r="CK27"/>
  <c r="DA8"/>
  <c r="DC8" s="1"/>
  <c r="CY8"/>
  <c r="CR28"/>
  <c r="CL27"/>
  <c r="DB8"/>
  <c r="DD8" s="1"/>
  <c r="CZ8"/>
  <c r="CM11"/>
  <c r="AI11"/>
  <c r="AE10"/>
  <c r="CM36"/>
  <c r="AI36"/>
  <c r="CM35"/>
  <c r="AI35"/>
  <c r="CM34"/>
  <c r="AI34"/>
  <c r="CM33"/>
  <c r="AI33"/>
  <c r="CM32"/>
  <c r="AI32"/>
  <c r="CM31"/>
  <c r="AI31"/>
  <c r="CM30"/>
  <c r="AI30"/>
  <c r="CN53"/>
  <c r="AJ53"/>
  <c r="CN45"/>
  <c r="AJ45"/>
  <c r="CN44"/>
  <c r="AJ44"/>
  <c r="CN43"/>
  <c r="AJ43"/>
  <c r="CN42"/>
  <c r="AJ42"/>
  <c r="CN40"/>
  <c r="AJ40"/>
  <c r="CQ82"/>
  <c r="CK81"/>
  <c r="CR85"/>
  <c r="CQ85"/>
  <c r="CK84"/>
  <c r="CM39"/>
  <c r="AI39"/>
  <c r="AE38"/>
  <c r="CM26"/>
  <c r="AI26"/>
  <c r="CM25"/>
  <c r="AI25"/>
  <c r="CM24"/>
  <c r="AI24"/>
  <c r="CM23"/>
  <c r="AI23"/>
  <c r="CM22"/>
  <c r="AI22"/>
  <c r="CM21"/>
  <c r="AI21"/>
  <c r="CM20"/>
  <c r="AI20"/>
  <c r="CM19"/>
  <c r="AI19"/>
  <c r="CM18"/>
  <c r="AI18"/>
  <c r="CM17"/>
  <c r="AI17"/>
  <c r="CM14"/>
  <c r="AI14"/>
  <c r="CM13"/>
  <c r="AI13"/>
  <c r="CM12"/>
  <c r="AI12"/>
  <c r="CN26"/>
  <c r="AJ26"/>
  <c r="CN25"/>
  <c r="AJ25"/>
  <c r="CN24"/>
  <c r="AJ24"/>
  <c r="CN23"/>
  <c r="AJ23"/>
  <c r="CN22"/>
  <c r="AJ22"/>
  <c r="CN21"/>
  <c r="AJ21"/>
  <c r="CN20"/>
  <c r="AJ20"/>
  <c r="CN19"/>
  <c r="AJ19"/>
  <c r="CN18"/>
  <c r="AJ18"/>
  <c r="CN17"/>
  <c r="AJ17"/>
  <c r="CN14"/>
  <c r="AJ14"/>
  <c r="CN13"/>
  <c r="AJ13"/>
  <c r="CN12"/>
  <c r="AJ12"/>
  <c r="CH101"/>
  <c r="AF101"/>
  <c r="CN93"/>
  <c r="AJ93"/>
  <c r="S75"/>
  <c r="S76"/>
  <c r="CM28"/>
  <c r="AI28"/>
  <c r="AE27"/>
  <c r="CM27" s="1"/>
  <c r="CM80"/>
  <c r="AI80"/>
  <c r="CN83"/>
  <c r="AJ83"/>
  <c r="CH38"/>
  <c r="AB37"/>
  <c r="CH37" s="1"/>
  <c r="CN80"/>
  <c r="AJ80"/>
  <c r="CN61"/>
  <c r="AJ61"/>
  <c r="CN58"/>
  <c r="AJ58"/>
  <c r="CN56"/>
  <c r="AJ56"/>
  <c r="CT102"/>
  <c r="AN102"/>
  <c r="CN100"/>
  <c r="AJ100"/>
  <c r="CN99"/>
  <c r="AJ99"/>
  <c r="CN98"/>
  <c r="AJ98"/>
  <c r="CN97"/>
  <c r="AJ97"/>
  <c r="CN96"/>
  <c r="AJ96"/>
  <c r="CN95"/>
  <c r="AJ95"/>
  <c r="CX55"/>
  <c r="CR47"/>
  <c r="CR39"/>
  <c r="CL38"/>
  <c r="CL37" s="1"/>
  <c r="CS102"/>
  <c r="AM102"/>
  <c r="CM100"/>
  <c r="AI100"/>
  <c r="CM99"/>
  <c r="AI99"/>
  <c r="CM98"/>
  <c r="AI98"/>
  <c r="CM97"/>
  <c r="AI97"/>
  <c r="CM96"/>
  <c r="AI96"/>
  <c r="CM95"/>
  <c r="AI95"/>
  <c r="CT107"/>
  <c r="AN107"/>
  <c r="CT106"/>
  <c r="AN106"/>
  <c r="CT105"/>
  <c r="AN105"/>
  <c r="CT104"/>
  <c r="AN104"/>
  <c r="CT103"/>
  <c r="AN103"/>
  <c r="CM93"/>
  <c r="AI93"/>
  <c r="CN79"/>
  <c r="AJ79"/>
  <c r="AF78"/>
  <c r="CE9"/>
  <c r="CE74" s="1"/>
  <c r="CG78"/>
  <c r="CR82"/>
  <c r="CL81"/>
  <c r="CR79"/>
  <c r="CL78"/>
  <c r="CR11"/>
  <c r="CL10"/>
  <c r="CW55"/>
  <c r="CQ47"/>
  <c r="CQ39"/>
  <c r="CK38"/>
  <c r="CK37" s="1"/>
  <c r="CM92"/>
  <c r="AI92"/>
  <c r="CH10"/>
  <c r="AB9"/>
  <c r="BZ87"/>
  <c r="BZ77" s="1"/>
  <c r="CN92"/>
  <c r="AJ92"/>
  <c r="CM61"/>
  <c r="AI61"/>
  <c r="CM58"/>
  <c r="AI58"/>
  <c r="CM56"/>
  <c r="AI56"/>
  <c r="CG10"/>
  <c r="AA9"/>
  <c r="CQ79"/>
  <c r="CK78"/>
  <c r="CR92"/>
  <c r="CN28"/>
  <c r="AJ28"/>
  <c r="AF27"/>
  <c r="CN27" s="1"/>
  <c r="CM53"/>
  <c r="AI53"/>
  <c r="CM45"/>
  <c r="AI45"/>
  <c r="CM44"/>
  <c r="AI44"/>
  <c r="CM43"/>
  <c r="AI43"/>
  <c r="CM42"/>
  <c r="AI42"/>
  <c r="CM40"/>
  <c r="AI40"/>
  <c r="CN29"/>
  <c r="AJ29"/>
  <c r="CG38"/>
  <c r="AA37"/>
  <c r="CG37" s="1"/>
  <c r="CQ92"/>
  <c r="CM55"/>
  <c r="AI55"/>
  <c r="AE47"/>
  <c r="CM47" s="1"/>
  <c r="CN39"/>
  <c r="AJ39"/>
  <c r="AF38"/>
  <c r="X74"/>
  <c r="CB9"/>
  <c r="CN85"/>
  <c r="AJ85"/>
  <c r="W74"/>
  <c r="CA9"/>
  <c r="CN82"/>
  <c r="AJ82"/>
  <c r="AF81"/>
  <c r="CN81" s="1"/>
  <c r="CS108"/>
  <c r="AM108"/>
  <c r="CS107"/>
  <c r="AM107"/>
  <c r="CS106"/>
  <c r="AM106"/>
  <c r="CS105"/>
  <c r="AM105"/>
  <c r="CS104"/>
  <c r="AM104"/>
  <c r="CS103"/>
  <c r="AM103"/>
  <c r="CM101"/>
  <c r="AI101"/>
  <c r="CL86"/>
  <c r="CH78"/>
  <c r="CQ11"/>
  <c r="CK10"/>
  <c r="T75"/>
  <c r="T76"/>
  <c r="CM79"/>
  <c r="AI79"/>
  <c r="AE78"/>
  <c r="CN55"/>
  <c r="AJ55"/>
  <c r="AF47"/>
  <c r="CN47" s="1"/>
  <c r="CH86"/>
  <c r="AF86"/>
  <c r="CM82"/>
  <c r="AI82"/>
  <c r="AE81"/>
  <c r="CM81" s="1"/>
  <c r="CN36"/>
  <c r="AJ36"/>
  <c r="CN35"/>
  <c r="AJ35"/>
  <c r="CN34"/>
  <c r="AJ34"/>
  <c r="CN33"/>
  <c r="AJ33"/>
  <c r="CN32"/>
  <c r="AJ32"/>
  <c r="CN31"/>
  <c r="AJ31"/>
  <c r="CN30"/>
  <c r="AJ30"/>
  <c r="CM29"/>
  <c r="AI29"/>
  <c r="CF9"/>
  <c r="CF74" s="1"/>
  <c r="CG86"/>
  <c r="AE86"/>
  <c r="AE84" s="1"/>
  <c r="CM84" s="1"/>
  <c r="CM85"/>
  <c r="AI85"/>
  <c r="CM16"/>
  <c r="AI16"/>
  <c r="CM15"/>
  <c r="AI15"/>
  <c r="CN11"/>
  <c r="AJ11"/>
  <c r="AF10"/>
  <c r="CE84"/>
  <c r="X87"/>
  <c r="CB87" s="1"/>
  <c r="W87"/>
  <c r="AL12" i="10"/>
  <c r="M12"/>
  <c r="AL14"/>
  <c r="M14"/>
  <c r="AL16"/>
  <c r="M16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Q39"/>
  <c r="AN38"/>
  <c r="AQ55"/>
  <c r="AN47"/>
  <c r="AQ79"/>
  <c r="AN78"/>
  <c r="AQ82"/>
  <c r="AN81"/>
  <c r="AQ85"/>
  <c r="AL11"/>
  <c r="M11"/>
  <c r="K10"/>
  <c r="AL13"/>
  <c r="M13"/>
  <c r="AL15"/>
  <c r="M15"/>
  <c r="AL17"/>
  <c r="M17"/>
  <c r="AL19"/>
  <c r="M19"/>
  <c r="AL21"/>
  <c r="M21"/>
  <c r="AL23"/>
  <c r="M23"/>
  <c r="AL25"/>
  <c r="M25"/>
  <c r="AL55"/>
  <c r="M55"/>
  <c r="K47"/>
  <c r="AL47" s="1"/>
  <c r="AL56"/>
  <c r="M56"/>
  <c r="AH74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28"/>
  <c r="AQ28"/>
  <c r="AN27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L94"/>
  <c r="M94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K9" i="9"/>
  <c r="AQ39"/>
  <c r="AN38"/>
  <c r="AQ55"/>
  <c r="AN47"/>
  <c r="AQ79"/>
  <c r="AN78"/>
  <c r="AQ82"/>
  <c r="AN81"/>
  <c r="AQ85"/>
  <c r="AL11"/>
  <c r="M11"/>
  <c r="K10"/>
  <c r="AL13"/>
  <c r="M13"/>
  <c r="AL17"/>
  <c r="M17"/>
  <c r="AL19"/>
  <c r="M19"/>
  <c r="AL21"/>
  <c r="M21"/>
  <c r="AL23"/>
  <c r="M23"/>
  <c r="AL25"/>
  <c r="M25"/>
  <c r="AL55"/>
  <c r="M55"/>
  <c r="K47"/>
  <c r="AL47" s="1"/>
  <c r="AL56"/>
  <c r="M56"/>
  <c r="AL12"/>
  <c r="M12"/>
  <c r="AL14"/>
  <c r="M14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H74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O15"/>
  <c r="O15"/>
  <c r="AO16"/>
  <c r="O16"/>
  <c r="AL94"/>
  <c r="M94"/>
  <c r="L114"/>
  <c r="M114" s="1"/>
  <c r="AG118"/>
  <c r="AH118" s="1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Q28"/>
  <c r="AN27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I10" i="8"/>
  <c r="I9"/>
  <c r="AL28"/>
  <c r="M28"/>
  <c r="K27"/>
  <c r="AL27" s="1"/>
  <c r="AL29"/>
  <c r="M29"/>
  <c r="AL30"/>
  <c r="M30"/>
  <c r="AL31"/>
  <c r="M31"/>
  <c r="AL32"/>
  <c r="M32"/>
  <c r="AL33"/>
  <c r="M33"/>
  <c r="AL34"/>
  <c r="M34"/>
  <c r="AL35"/>
  <c r="M35"/>
  <c r="AL36"/>
  <c r="M36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Q11"/>
  <c r="AN10"/>
  <c r="AL55"/>
  <c r="M55"/>
  <c r="K47"/>
  <c r="AL47" s="1"/>
  <c r="AL56"/>
  <c r="M56"/>
  <c r="AO15"/>
  <c r="O15"/>
  <c r="AO16"/>
  <c r="O16"/>
  <c r="AS8"/>
  <c r="AT8" s="1"/>
  <c r="AR8"/>
  <c r="AQ28"/>
  <c r="AN27"/>
  <c r="AQ39"/>
  <c r="AN38"/>
  <c r="AQ55"/>
  <c r="AN47"/>
  <c r="AQ79"/>
  <c r="AN78"/>
  <c r="AQ82"/>
  <c r="AN81"/>
  <c r="AQ85"/>
  <c r="AL11"/>
  <c r="M11"/>
  <c r="K10"/>
  <c r="AL12"/>
  <c r="M12"/>
  <c r="AL13"/>
  <c r="M13"/>
  <c r="AL14"/>
  <c r="M14"/>
  <c r="AL17"/>
  <c r="M17"/>
  <c r="AL18"/>
  <c r="M18"/>
  <c r="AL19"/>
  <c r="M19"/>
  <c r="AL20"/>
  <c r="M20"/>
  <c r="AL21"/>
  <c r="M21"/>
  <c r="AL22"/>
  <c r="M22"/>
  <c r="AL23"/>
  <c r="M23"/>
  <c r="AL24"/>
  <c r="M24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L25"/>
  <c r="M25"/>
  <c r="AL26"/>
  <c r="M26"/>
  <c r="AG118"/>
  <c r="AH118" s="1"/>
  <c r="AJ114"/>
  <c r="AK114" s="1"/>
  <c r="AL94"/>
  <c r="M94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O16" i="5"/>
  <c r="E16" s="1"/>
  <c r="DV34"/>
  <c r="DU34"/>
  <c r="BA34"/>
  <c r="I64"/>
  <c r="I65"/>
  <c r="S19"/>
  <c r="BO19"/>
  <c r="BT8"/>
  <c r="BT63" s="1"/>
  <c r="BT64" s="1"/>
  <c r="CB20"/>
  <c r="AB20"/>
  <c r="CH25"/>
  <c r="AF25"/>
  <c r="DU36"/>
  <c r="BA36"/>
  <c r="DV36"/>
  <c r="AF24"/>
  <c r="CH24"/>
  <c r="CB30"/>
  <c r="AB30"/>
  <c r="CL38"/>
  <c r="CF37"/>
  <c r="AB41"/>
  <c r="CB41"/>
  <c r="DV80"/>
  <c r="DU80"/>
  <c r="BA80"/>
  <c r="AB57"/>
  <c r="CB57"/>
  <c r="BV12"/>
  <c r="X12"/>
  <c r="BO15"/>
  <c r="S15"/>
  <c r="BO17"/>
  <c r="S17"/>
  <c r="BO22"/>
  <c r="S22"/>
  <c r="BU30"/>
  <c r="W30"/>
  <c r="BV31"/>
  <c r="X31"/>
  <c r="BV32"/>
  <c r="X32"/>
  <c r="BU33"/>
  <c r="W33"/>
  <c r="BU35"/>
  <c r="W35"/>
  <c r="BG76"/>
  <c r="BG66" s="1"/>
  <c r="BG63"/>
  <c r="BU41"/>
  <c r="W41"/>
  <c r="BV42"/>
  <c r="X42"/>
  <c r="BY46"/>
  <c r="CE54"/>
  <c r="BU55"/>
  <c r="W55"/>
  <c r="BV19"/>
  <c r="X19"/>
  <c r="BU24"/>
  <c r="W24"/>
  <c r="CB28"/>
  <c r="AB28"/>
  <c r="BV29"/>
  <c r="X29"/>
  <c r="BU31"/>
  <c r="W31"/>
  <c r="BV33"/>
  <c r="X33"/>
  <c r="BP37"/>
  <c r="P36"/>
  <c r="BV55"/>
  <c r="X55"/>
  <c r="BY81"/>
  <c r="BS80"/>
  <c r="AF91"/>
  <c r="CH91"/>
  <c r="BV69"/>
  <c r="X69"/>
  <c r="X67" s="1"/>
  <c r="T70"/>
  <c r="BV71"/>
  <c r="X71"/>
  <c r="BY75"/>
  <c r="CH93"/>
  <c r="AF93"/>
  <c r="CH95"/>
  <c r="AF95"/>
  <c r="BZ75"/>
  <c r="BZ73" s="1"/>
  <c r="BV84"/>
  <c r="X84"/>
  <c r="BV86"/>
  <c r="X86"/>
  <c r="CA89"/>
  <c r="AA89"/>
  <c r="BU90"/>
  <c r="W90"/>
  <c r="Y25"/>
  <c r="AG25" s="1"/>
  <c r="AK25" s="1"/>
  <c r="CJ7"/>
  <c r="CL7" s="1"/>
  <c r="CH7"/>
  <c r="CI7"/>
  <c r="CK7" s="1"/>
  <c r="CG7"/>
  <c r="CE10"/>
  <c r="BY9"/>
  <c r="CF27"/>
  <c r="BZ26"/>
  <c r="CE27"/>
  <c r="BY26"/>
  <c r="AB35"/>
  <c r="CB35"/>
  <c r="S37"/>
  <c r="W38"/>
  <c r="BI9"/>
  <c r="BI65" s="1"/>
  <c r="K8"/>
  <c r="S46"/>
  <c r="BU46" s="1"/>
  <c r="BU54"/>
  <c r="W54"/>
  <c r="AB13"/>
  <c r="CB13"/>
  <c r="BV16"/>
  <c r="X16"/>
  <c r="BV21"/>
  <c r="X21"/>
  <c r="BV27"/>
  <c r="X27"/>
  <c r="T26"/>
  <c r="BV26" s="1"/>
  <c r="BU29"/>
  <c r="W29"/>
  <c r="BU34"/>
  <c r="W34"/>
  <c r="BV39"/>
  <c r="X39"/>
  <c r="W60"/>
  <c r="BU60"/>
  <c r="BU16"/>
  <c r="W16"/>
  <c r="BU23"/>
  <c r="W23"/>
  <c r="CE68"/>
  <c r="BY67"/>
  <c r="CE71"/>
  <c r="BY70"/>
  <c r="CF74"/>
  <c r="BZ81"/>
  <c r="BT80"/>
  <c r="BU57"/>
  <c r="W57"/>
  <c r="AA69"/>
  <c r="CA69"/>
  <c r="AB72"/>
  <c r="CB72"/>
  <c r="W81"/>
  <c r="BU81"/>
  <c r="S80"/>
  <c r="BV83"/>
  <c r="X83"/>
  <c r="BS73"/>
  <c r="BY74"/>
  <c r="BU82"/>
  <c r="W82"/>
  <c r="BU85"/>
  <c r="W85"/>
  <c r="BK99"/>
  <c r="BM98"/>
  <c r="BO67"/>
  <c r="BU71"/>
  <c r="W71"/>
  <c r="S70"/>
  <c r="BU70" s="1"/>
  <c r="AP9"/>
  <c r="Y17"/>
  <c r="AG19"/>
  <c r="AG24"/>
  <c r="F10"/>
  <c r="BI37"/>
  <c r="F28"/>
  <c r="T67"/>
  <c r="BN66"/>
  <c r="BP73"/>
  <c r="AO15"/>
  <c r="E15" s="1"/>
  <c r="AG13"/>
  <c r="AK13" s="1"/>
  <c r="BO20"/>
  <c r="S20"/>
  <c r="BZ9"/>
  <c r="CF10"/>
  <c r="BV11"/>
  <c r="X11"/>
  <c r="M8"/>
  <c r="Q9"/>
  <c r="U10"/>
  <c r="BU11"/>
  <c r="W11"/>
  <c r="AB43"/>
  <c r="CB43"/>
  <c r="AB44"/>
  <c r="CB44"/>
  <c r="CF54"/>
  <c r="BZ46"/>
  <c r="BZ36" s="1"/>
  <c r="BO12"/>
  <c r="S12"/>
  <c r="BV17"/>
  <c r="X17"/>
  <c r="BV22"/>
  <c r="X22"/>
  <c r="BS38"/>
  <c r="BM37"/>
  <c r="BM36" s="1"/>
  <c r="BM76" s="1"/>
  <c r="BM66" s="1"/>
  <c r="X38"/>
  <c r="BV38"/>
  <c r="T37"/>
  <c r="BU83"/>
  <c r="W83"/>
  <c r="BU43"/>
  <c r="W43"/>
  <c r="BU44"/>
  <c r="W44"/>
  <c r="BV52"/>
  <c r="X52"/>
  <c r="BV60"/>
  <c r="X60"/>
  <c r="BL99"/>
  <c r="BN98"/>
  <c r="BP67"/>
  <c r="BU72"/>
  <c r="W72"/>
  <c r="BU75"/>
  <c r="W75"/>
  <c r="BV81"/>
  <c r="T80"/>
  <c r="X81"/>
  <c r="BU84"/>
  <c r="W84"/>
  <c r="BV75"/>
  <c r="X75"/>
  <c r="BO87"/>
  <c r="S87"/>
  <c r="CA91"/>
  <c r="AA91"/>
  <c r="CB89"/>
  <c r="AB89"/>
  <c r="CH92"/>
  <c r="AF92"/>
  <c r="CH94"/>
  <c r="AF94"/>
  <c r="CA92"/>
  <c r="AA92"/>
  <c r="CA93"/>
  <c r="AA93"/>
  <c r="CA94"/>
  <c r="AA94"/>
  <c r="CA95"/>
  <c r="AA95"/>
  <c r="CA96"/>
  <c r="AA96"/>
  <c r="BV111"/>
  <c r="X111"/>
  <c r="AG30"/>
  <c r="AK30" s="1"/>
  <c r="BS8"/>
  <c r="AL8"/>
  <c r="AA32"/>
  <c r="CA32"/>
  <c r="BI36"/>
  <c r="O36"/>
  <c r="BO10"/>
  <c r="S10"/>
  <c r="O9"/>
  <c r="X10"/>
  <c r="T9"/>
  <c r="BV10"/>
  <c r="BP9"/>
  <c r="BP65" s="1"/>
  <c r="P8"/>
  <c r="BU13"/>
  <c r="W13"/>
  <c r="BO14"/>
  <c r="S14"/>
  <c r="BO18"/>
  <c r="S18"/>
  <c r="BV18"/>
  <c r="X18"/>
  <c r="BO21"/>
  <c r="S21"/>
  <c r="BV23"/>
  <c r="X23"/>
  <c r="AA52"/>
  <c r="CA52"/>
  <c r="BU27"/>
  <c r="W27"/>
  <c r="BV34"/>
  <c r="X34"/>
  <c r="BU39"/>
  <c r="W39"/>
  <c r="BU42"/>
  <c r="W42"/>
  <c r="CB68"/>
  <c r="AB68"/>
  <c r="BV54"/>
  <c r="X54"/>
  <c r="T46"/>
  <c r="BV46" s="1"/>
  <c r="BT70"/>
  <c r="BZ71"/>
  <c r="S73"/>
  <c r="BU74"/>
  <c r="W74"/>
  <c r="BU68"/>
  <c r="W68"/>
  <c r="S67"/>
  <c r="BV74"/>
  <c r="X74"/>
  <c r="T73"/>
  <c r="BV82"/>
  <c r="X82"/>
  <c r="BV85"/>
  <c r="X85"/>
  <c r="CB87"/>
  <c r="AB87"/>
  <c r="CH88"/>
  <c r="AF88"/>
  <c r="BU86"/>
  <c r="W86"/>
  <c r="CG88"/>
  <c r="AE88"/>
  <c r="CH90"/>
  <c r="AF90"/>
  <c r="CH96"/>
  <c r="AF96"/>
  <c r="BU111"/>
  <c r="W111"/>
  <c r="Y28"/>
  <c r="AG28" s="1"/>
  <c r="BN63"/>
  <c r="BO38"/>
  <c r="BT73"/>
  <c r="BO80"/>
  <c r="Y14"/>
  <c r="DU21" l="1"/>
  <c r="AK87" i="10"/>
  <c r="AK77" s="1"/>
  <c r="BU73" i="5"/>
  <c r="D64"/>
  <c r="AW65"/>
  <c r="DU18"/>
  <c r="AE76" i="9"/>
  <c r="AA75" i="10"/>
  <c r="D76" i="9"/>
  <c r="BK87" i="10"/>
  <c r="BK114"/>
  <c r="AA77"/>
  <c r="AA88" s="1"/>
  <c r="C65" i="5"/>
  <c r="AK74" i="8"/>
  <c r="AK75" s="1"/>
  <c r="G75" i="10"/>
  <c r="BU80" i="5"/>
  <c r="K76"/>
  <c r="DS76"/>
  <c r="AY66"/>
  <c r="AY64"/>
  <c r="AY65"/>
  <c r="BH64"/>
  <c r="BH65"/>
  <c r="AK74" i="10"/>
  <c r="AK75" s="1"/>
  <c r="AH76" i="8"/>
  <c r="W25" i="5"/>
  <c r="AA25" s="1"/>
  <c r="BA21"/>
  <c r="W28"/>
  <c r="CA28" s="1"/>
  <c r="AK87" i="9"/>
  <c r="AK77" s="1"/>
  <c r="BU28" i="5"/>
  <c r="BA32"/>
  <c r="DV18"/>
  <c r="AO20"/>
  <c r="E20" s="1"/>
  <c r="DV20" s="1"/>
  <c r="AF87" i="8"/>
  <c r="G77"/>
  <c r="S26" i="5"/>
  <c r="BU26" s="1"/>
  <c r="BV80"/>
  <c r="DV32"/>
  <c r="AB87" i="11"/>
  <c r="CH87" s="1"/>
  <c r="G76" i="8"/>
  <c r="L64" i="5"/>
  <c r="L65"/>
  <c r="AO12"/>
  <c r="E12" s="1"/>
  <c r="X116" i="8"/>
  <c r="D116" s="1"/>
  <c r="BA116"/>
  <c r="DT76" i="5"/>
  <c r="AZ66"/>
  <c r="AE76" i="10"/>
  <c r="AE75"/>
  <c r="AB91" i="11"/>
  <c r="CH91" s="1"/>
  <c r="CH94"/>
  <c r="AF94"/>
  <c r="E22" i="5"/>
  <c r="BA22" s="1"/>
  <c r="BM63"/>
  <c r="BM64" s="1"/>
  <c r="BO37"/>
  <c r="L114" i="10"/>
  <c r="M114" s="1"/>
  <c r="N114" s="1"/>
  <c r="AZ64" i="5"/>
  <c r="AZ65"/>
  <c r="G64"/>
  <c r="G65"/>
  <c r="BJ36"/>
  <c r="L76"/>
  <c r="AO13"/>
  <c r="E13" s="1"/>
  <c r="BT76"/>
  <c r="BT66" s="1"/>
  <c r="AK74" i="9"/>
  <c r="AK75" s="1"/>
  <c r="X115" i="8"/>
  <c r="D115" s="1"/>
  <c r="BA115"/>
  <c r="DR64" i="5"/>
  <c r="DR65"/>
  <c r="H64"/>
  <c r="H65"/>
  <c r="AA87" i="11"/>
  <c r="CG87" s="1"/>
  <c r="CK117" i="8"/>
  <c r="G77" i="10"/>
  <c r="AF87"/>
  <c r="AA91" i="11"/>
  <c r="CG91" s="1"/>
  <c r="CG94"/>
  <c r="AE94"/>
  <c r="CL94"/>
  <c r="CF91"/>
  <c r="CK94"/>
  <c r="CE91"/>
  <c r="BL87" i="9"/>
  <c r="D77"/>
  <c r="AB87"/>
  <c r="G77"/>
  <c r="AF87"/>
  <c r="BL37" i="8"/>
  <c r="AB37"/>
  <c r="D87"/>
  <c r="BL87" s="1"/>
  <c r="D75"/>
  <c r="D76"/>
  <c r="BR114" i="11"/>
  <c r="BQ114"/>
  <c r="BL118"/>
  <c r="BN118" s="1"/>
  <c r="BN114"/>
  <c r="D75" i="10"/>
  <c r="D76"/>
  <c r="BL37"/>
  <c r="D87"/>
  <c r="AB37"/>
  <c r="AK76"/>
  <c r="BT12" i="11"/>
  <c r="BN76"/>
  <c r="BN75"/>
  <c r="BM114"/>
  <c r="BK118"/>
  <c r="BM118" s="1"/>
  <c r="N114"/>
  <c r="M114"/>
  <c r="I114" i="8"/>
  <c r="BS12" i="11"/>
  <c r="BM75"/>
  <c r="BM76"/>
  <c r="CA87"/>
  <c r="W77"/>
  <c r="CT11"/>
  <c r="AN11"/>
  <c r="AJ10"/>
  <c r="AM15"/>
  <c r="CS15"/>
  <c r="AM16"/>
  <c r="CS16"/>
  <c r="CS29"/>
  <c r="AM29"/>
  <c r="CT30"/>
  <c r="AN30"/>
  <c r="CT31"/>
  <c r="AN31"/>
  <c r="CT32"/>
  <c r="AN32"/>
  <c r="CT33"/>
  <c r="AN33"/>
  <c r="CT34"/>
  <c r="AN34"/>
  <c r="CT35"/>
  <c r="AN35"/>
  <c r="CT36"/>
  <c r="AN36"/>
  <c r="CS79"/>
  <c r="AM79"/>
  <c r="AI78"/>
  <c r="CK9"/>
  <c r="CK74" s="1"/>
  <c r="CR86"/>
  <c r="CR84" s="1"/>
  <c r="CS101"/>
  <c r="AM101"/>
  <c r="CY103"/>
  <c r="AQ103"/>
  <c r="CY104"/>
  <c r="AQ104"/>
  <c r="CY105"/>
  <c r="AQ105"/>
  <c r="CY106"/>
  <c r="AQ106"/>
  <c r="CY107"/>
  <c r="AQ107"/>
  <c r="CY108"/>
  <c r="AQ108"/>
  <c r="W75"/>
  <c r="W76"/>
  <c r="CT85"/>
  <c r="AN85"/>
  <c r="CN38"/>
  <c r="AF37"/>
  <c r="CN37" s="1"/>
  <c r="CS55"/>
  <c r="AM55"/>
  <c r="AI47"/>
  <c r="CS47" s="1"/>
  <c r="CT29"/>
  <c r="AN29"/>
  <c r="CS40"/>
  <c r="AM40"/>
  <c r="CS42"/>
  <c r="AM42"/>
  <c r="CS43"/>
  <c r="AM43"/>
  <c r="CS44"/>
  <c r="AM44"/>
  <c r="CS45"/>
  <c r="AM45"/>
  <c r="CS53"/>
  <c r="AM53"/>
  <c r="CX92"/>
  <c r="CW79"/>
  <c r="CQ78"/>
  <c r="CS56"/>
  <c r="AM56"/>
  <c r="CS58"/>
  <c r="AM58"/>
  <c r="CS61"/>
  <c r="AM61"/>
  <c r="CW39"/>
  <c r="CQ38"/>
  <c r="CQ37" s="1"/>
  <c r="DC55"/>
  <c r="CW47"/>
  <c r="CX11"/>
  <c r="CR10"/>
  <c r="CX79"/>
  <c r="CR78"/>
  <c r="CX82"/>
  <c r="CR81"/>
  <c r="CT79"/>
  <c r="AN79"/>
  <c r="AJ78"/>
  <c r="CS93"/>
  <c r="AM93"/>
  <c r="CZ103"/>
  <c r="AR103"/>
  <c r="CZ104"/>
  <c r="AR104"/>
  <c r="CZ105"/>
  <c r="AR105"/>
  <c r="CZ106"/>
  <c r="AR106"/>
  <c r="CZ107"/>
  <c r="AR107"/>
  <c r="CS95"/>
  <c r="AM95"/>
  <c r="CS96"/>
  <c r="AM96"/>
  <c r="CS97"/>
  <c r="AM97"/>
  <c r="CS98"/>
  <c r="AM98"/>
  <c r="CS99"/>
  <c r="AM99"/>
  <c r="CS100"/>
  <c r="AM100"/>
  <c r="CY102"/>
  <c r="AQ102"/>
  <c r="CT95"/>
  <c r="AN95"/>
  <c r="CT96"/>
  <c r="AN96"/>
  <c r="CT97"/>
  <c r="AN97"/>
  <c r="CT98"/>
  <c r="AN98"/>
  <c r="CT99"/>
  <c r="AN99"/>
  <c r="CT100"/>
  <c r="AN100"/>
  <c r="CZ102"/>
  <c r="AR102"/>
  <c r="CT56"/>
  <c r="AN56"/>
  <c r="CT58"/>
  <c r="AN58"/>
  <c r="CT61"/>
  <c r="AN61"/>
  <c r="CT80"/>
  <c r="AN80"/>
  <c r="CT83"/>
  <c r="AN83"/>
  <c r="CS80"/>
  <c r="AM80"/>
  <c r="CS39"/>
  <c r="AM39"/>
  <c r="AI38"/>
  <c r="CT40"/>
  <c r="AN40"/>
  <c r="CT42"/>
  <c r="AN42"/>
  <c r="CT43"/>
  <c r="AN43"/>
  <c r="CT44"/>
  <c r="AN44"/>
  <c r="CT45"/>
  <c r="AN45"/>
  <c r="CT53"/>
  <c r="AN53"/>
  <c r="CS30"/>
  <c r="AM30"/>
  <c r="CS31"/>
  <c r="AM31"/>
  <c r="CS32"/>
  <c r="AM32"/>
  <c r="CS33"/>
  <c r="AM33"/>
  <c r="CS34"/>
  <c r="AM34"/>
  <c r="CS35"/>
  <c r="AM35"/>
  <c r="CS36"/>
  <c r="AM36"/>
  <c r="CM10"/>
  <c r="AE9"/>
  <c r="DH8"/>
  <c r="DJ8" s="1"/>
  <c r="DF8"/>
  <c r="CX28"/>
  <c r="CR27"/>
  <c r="DG8"/>
  <c r="DI8" s="1"/>
  <c r="DE8"/>
  <c r="CW28"/>
  <c r="CQ27"/>
  <c r="X77"/>
  <c r="CL84"/>
  <c r="CE87"/>
  <c r="CE77" s="1"/>
  <c r="CN10"/>
  <c r="AF9"/>
  <c r="CS85"/>
  <c r="AM85"/>
  <c r="CM86"/>
  <c r="AI86"/>
  <c r="CS82"/>
  <c r="AM82"/>
  <c r="AI81"/>
  <c r="CS81" s="1"/>
  <c r="CN86"/>
  <c r="AJ86"/>
  <c r="CT55"/>
  <c r="AN55"/>
  <c r="AJ47"/>
  <c r="CT47" s="1"/>
  <c r="CM78"/>
  <c r="CW11"/>
  <c r="CQ10"/>
  <c r="CT82"/>
  <c r="AN82"/>
  <c r="AJ81"/>
  <c r="CT81" s="1"/>
  <c r="X75"/>
  <c r="X76"/>
  <c r="CT39"/>
  <c r="AN39"/>
  <c r="AJ38"/>
  <c r="CW92"/>
  <c r="CT28"/>
  <c r="AN28"/>
  <c r="AJ27"/>
  <c r="CT27" s="1"/>
  <c r="AA74"/>
  <c r="CG9"/>
  <c r="CT92"/>
  <c r="AN92"/>
  <c r="AB74"/>
  <c r="CH9"/>
  <c r="CS92"/>
  <c r="AM92"/>
  <c r="CL9"/>
  <c r="CL74" s="1"/>
  <c r="CN78"/>
  <c r="CX39"/>
  <c r="CR38"/>
  <c r="CR37" s="1"/>
  <c r="DD55"/>
  <c r="CX47"/>
  <c r="CS28"/>
  <c r="AM28"/>
  <c r="AI27"/>
  <c r="CS27" s="1"/>
  <c r="CT93"/>
  <c r="AN93"/>
  <c r="CN101"/>
  <c r="AJ101"/>
  <c r="CT12"/>
  <c r="AN12"/>
  <c r="CT13"/>
  <c r="AN13"/>
  <c r="CT14"/>
  <c r="AN14"/>
  <c r="CT17"/>
  <c r="AN17"/>
  <c r="CT18"/>
  <c r="AN18"/>
  <c r="CT19"/>
  <c r="AN19"/>
  <c r="CT20"/>
  <c r="AN20"/>
  <c r="CT21"/>
  <c r="AN21"/>
  <c r="CT22"/>
  <c r="AN22"/>
  <c r="CT23"/>
  <c r="AN23"/>
  <c r="CT24"/>
  <c r="AN24"/>
  <c r="CT25"/>
  <c r="AN25"/>
  <c r="CT26"/>
  <c r="AN26"/>
  <c r="CS12"/>
  <c r="AM12"/>
  <c r="CS13"/>
  <c r="AM13"/>
  <c r="CS14"/>
  <c r="AM14"/>
  <c r="CS17"/>
  <c r="AM17"/>
  <c r="CS18"/>
  <c r="AM18"/>
  <c r="CS19"/>
  <c r="AM19"/>
  <c r="CS20"/>
  <c r="AM20"/>
  <c r="CS21"/>
  <c r="AM21"/>
  <c r="CS22"/>
  <c r="AM22"/>
  <c r="CS23"/>
  <c r="AM23"/>
  <c r="CS24"/>
  <c r="AM24"/>
  <c r="CS25"/>
  <c r="AM25"/>
  <c r="CS26"/>
  <c r="AM26"/>
  <c r="CM38"/>
  <c r="AE37"/>
  <c r="CM37" s="1"/>
  <c r="CW85"/>
  <c r="CX85"/>
  <c r="CW82"/>
  <c r="CQ81"/>
  <c r="CS11"/>
  <c r="AM11"/>
  <c r="AI10"/>
  <c r="CS83"/>
  <c r="AM83"/>
  <c r="CQ86"/>
  <c r="CZ109"/>
  <c r="AR109"/>
  <c r="CZ110"/>
  <c r="AR110"/>
  <c r="CZ111"/>
  <c r="AR111"/>
  <c r="CZ112"/>
  <c r="AR112"/>
  <c r="CY109"/>
  <c r="AQ109"/>
  <c r="CY110"/>
  <c r="AQ110"/>
  <c r="CY111"/>
  <c r="AQ111"/>
  <c r="CY112"/>
  <c r="AQ112"/>
  <c r="CT108"/>
  <c r="AN108"/>
  <c r="CF87"/>
  <c r="CF77" s="1"/>
  <c r="AF84"/>
  <c r="CN84" s="1"/>
  <c r="AO82" i="10"/>
  <c r="O82"/>
  <c r="M81"/>
  <c r="AO81" s="1"/>
  <c r="AO45"/>
  <c r="O45"/>
  <c r="AO44"/>
  <c r="O44"/>
  <c r="AO43"/>
  <c r="O43"/>
  <c r="AO42"/>
  <c r="O42"/>
  <c r="AM114"/>
  <c r="AN114" s="1"/>
  <c r="AO36"/>
  <c r="O36"/>
  <c r="AO34"/>
  <c r="O34"/>
  <c r="AO32"/>
  <c r="O32"/>
  <c r="AO30"/>
  <c r="O30"/>
  <c r="AN9"/>
  <c r="AO128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55"/>
  <c r="O55"/>
  <c r="M47"/>
  <c r="AO47" s="1"/>
  <c r="AO25"/>
  <c r="O25"/>
  <c r="AO23"/>
  <c r="O23"/>
  <c r="AO21"/>
  <c r="O21"/>
  <c r="AO19"/>
  <c r="O19"/>
  <c r="AO17"/>
  <c r="O17"/>
  <c r="AO15"/>
  <c r="O15"/>
  <c r="AO13"/>
  <c r="O13"/>
  <c r="AL10"/>
  <c r="K9"/>
  <c r="AT85"/>
  <c r="AT82"/>
  <c r="AQ81"/>
  <c r="AT79"/>
  <c r="AQ78"/>
  <c r="AT55"/>
  <c r="AQ47"/>
  <c r="AT39"/>
  <c r="AQ3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6"/>
  <c r="O16"/>
  <c r="AO14"/>
  <c r="O14"/>
  <c r="AO12"/>
  <c r="O12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O83"/>
  <c r="O83"/>
  <c r="AO94"/>
  <c r="O94"/>
  <c r="AO28"/>
  <c r="O28"/>
  <c r="M27"/>
  <c r="AO27" s="1"/>
  <c r="I74"/>
  <c r="AI9"/>
  <c r="AT11"/>
  <c r="AQ10"/>
  <c r="AV8"/>
  <c r="AW8" s="1"/>
  <c r="AU8"/>
  <c r="AT28"/>
  <c r="AQ27"/>
  <c r="AO92"/>
  <c r="O92"/>
  <c r="M91"/>
  <c r="AO91" s="1"/>
  <c r="AO80"/>
  <c r="O80"/>
  <c r="AL78"/>
  <c r="AH75"/>
  <c r="AH76"/>
  <c r="AO56"/>
  <c r="O56"/>
  <c r="AO11"/>
  <c r="O11"/>
  <c r="M10"/>
  <c r="AO39"/>
  <c r="O39"/>
  <c r="M38"/>
  <c r="AT92"/>
  <c r="AQ91"/>
  <c r="AN84"/>
  <c r="AN37"/>
  <c r="AO131" i="9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94"/>
  <c r="O94"/>
  <c r="AR16"/>
  <c r="Q16"/>
  <c r="AR15"/>
  <c r="Q15"/>
  <c r="AO28"/>
  <c r="O28"/>
  <c r="M27"/>
  <c r="AO27" s="1"/>
  <c r="I74"/>
  <c r="AI9"/>
  <c r="AT11"/>
  <c r="AQ10"/>
  <c r="AV8"/>
  <c r="AW8" s="1"/>
  <c r="AU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4"/>
  <c r="O14"/>
  <c r="AO12"/>
  <c r="O12"/>
  <c r="AO56"/>
  <c r="O56"/>
  <c r="AO11"/>
  <c r="O11"/>
  <c r="M10"/>
  <c r="AN84"/>
  <c r="AN37"/>
  <c r="AO92"/>
  <c r="O92"/>
  <c r="M91"/>
  <c r="AO91" s="1"/>
  <c r="AO80"/>
  <c r="O80"/>
  <c r="AL78"/>
  <c r="AT28"/>
  <c r="AQ27"/>
  <c r="AO82"/>
  <c r="O82"/>
  <c r="M81"/>
  <c r="AO81" s="1"/>
  <c r="AO45"/>
  <c r="O45"/>
  <c r="AO44"/>
  <c r="O44"/>
  <c r="AO43"/>
  <c r="O43"/>
  <c r="AO42"/>
  <c r="O42"/>
  <c r="AJ118"/>
  <c r="AK118" s="1"/>
  <c r="AM114"/>
  <c r="AN114" s="1"/>
  <c r="N114"/>
  <c r="AO36"/>
  <c r="O36"/>
  <c r="AO34"/>
  <c r="O34"/>
  <c r="AO32"/>
  <c r="O32"/>
  <c r="AO30"/>
  <c r="O30"/>
  <c r="AN9"/>
  <c r="AH75"/>
  <c r="AH76"/>
  <c r="AO39"/>
  <c r="O39"/>
  <c r="M38"/>
  <c r="AT92"/>
  <c r="AQ91"/>
  <c r="AO55"/>
  <c r="O55"/>
  <c r="M47"/>
  <c r="AO47" s="1"/>
  <c r="AO25"/>
  <c r="O25"/>
  <c r="AO23"/>
  <c r="O23"/>
  <c r="AO21"/>
  <c r="O21"/>
  <c r="AO19"/>
  <c r="O19"/>
  <c r="AO17"/>
  <c r="O17"/>
  <c r="AO13"/>
  <c r="O13"/>
  <c r="AL10"/>
  <c r="K9"/>
  <c r="AT85"/>
  <c r="AT82"/>
  <c r="AQ81"/>
  <c r="AT79"/>
  <c r="AQ78"/>
  <c r="AT55"/>
  <c r="AQ47"/>
  <c r="AT39"/>
  <c r="AQ38"/>
  <c r="AR112" i="8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26"/>
  <c r="O26"/>
  <c r="AO25"/>
  <c r="O25"/>
  <c r="AO39"/>
  <c r="O39"/>
  <c r="M38"/>
  <c r="AO11"/>
  <c r="O11"/>
  <c r="M10"/>
  <c r="Q16"/>
  <c r="AR16"/>
  <c r="Q15"/>
  <c r="AR15"/>
  <c r="AO55"/>
  <c r="O55"/>
  <c r="M47"/>
  <c r="AO47" s="1"/>
  <c r="AT11"/>
  <c r="AQ10"/>
  <c r="AO92"/>
  <c r="O92"/>
  <c r="M91"/>
  <c r="AO91" s="1"/>
  <c r="AO80"/>
  <c r="O80"/>
  <c r="AL78"/>
  <c r="AO36"/>
  <c r="O36"/>
  <c r="AO35"/>
  <c r="O35"/>
  <c r="AO34"/>
  <c r="O34"/>
  <c r="AO33"/>
  <c r="O33"/>
  <c r="AO32"/>
  <c r="O32"/>
  <c r="AO31"/>
  <c r="O31"/>
  <c r="AO30"/>
  <c r="O30"/>
  <c r="AO29"/>
  <c r="O29"/>
  <c r="AO82"/>
  <c r="O82"/>
  <c r="M81"/>
  <c r="AO81" s="1"/>
  <c r="AO45"/>
  <c r="O45"/>
  <c r="AO44"/>
  <c r="O44"/>
  <c r="AO43"/>
  <c r="O43"/>
  <c r="AO42"/>
  <c r="O42"/>
  <c r="AO94"/>
  <c r="O94"/>
  <c r="AJ118"/>
  <c r="AK118" s="1"/>
  <c r="AM114"/>
  <c r="AN114" s="1"/>
  <c r="AO86"/>
  <c r="O86"/>
  <c r="AO85"/>
  <c r="O85"/>
  <c r="M84"/>
  <c r="AO84" s="1"/>
  <c r="AO61"/>
  <c r="O61"/>
  <c r="AO58"/>
  <c r="O58"/>
  <c r="AO53"/>
  <c r="O53"/>
  <c r="AO40"/>
  <c r="O40"/>
  <c r="AL38"/>
  <c r="K37"/>
  <c r="AT92"/>
  <c r="AQ91"/>
  <c r="AO24"/>
  <c r="O24"/>
  <c r="AO23"/>
  <c r="O23"/>
  <c r="AO22"/>
  <c r="O22"/>
  <c r="AO21"/>
  <c r="O21"/>
  <c r="AO20"/>
  <c r="O20"/>
  <c r="AO19"/>
  <c r="O19"/>
  <c r="AO18"/>
  <c r="O18"/>
  <c r="AO17"/>
  <c r="O17"/>
  <c r="AO14"/>
  <c r="O14"/>
  <c r="AO13"/>
  <c r="O13"/>
  <c r="AO12"/>
  <c r="O12"/>
  <c r="AL10"/>
  <c r="K9"/>
  <c r="AT85"/>
  <c r="AT82"/>
  <c r="AQ81"/>
  <c r="AT79"/>
  <c r="AQ78"/>
  <c r="AT55"/>
  <c r="AQ47"/>
  <c r="AT39"/>
  <c r="AQ38"/>
  <c r="AT28"/>
  <c r="AQ27"/>
  <c r="AV8"/>
  <c r="AW8" s="1"/>
  <c r="AU8"/>
  <c r="AO56"/>
  <c r="O56"/>
  <c r="AN9"/>
  <c r="AO131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28"/>
  <c r="O28"/>
  <c r="M27"/>
  <c r="AO27" s="1"/>
  <c r="I74"/>
  <c r="AI9"/>
  <c r="AN84"/>
  <c r="AN37"/>
  <c r="AK87"/>
  <c r="AK77" s="1"/>
  <c r="AG26" i="5"/>
  <c r="BA15"/>
  <c r="DU15"/>
  <c r="BA20"/>
  <c r="AG14"/>
  <c r="BN64"/>
  <c r="BN65"/>
  <c r="CB74"/>
  <c r="AB74"/>
  <c r="X73"/>
  <c r="CB73" s="1"/>
  <c r="BU67"/>
  <c r="BZ70"/>
  <c r="CF71"/>
  <c r="CB67"/>
  <c r="CA42"/>
  <c r="AA42"/>
  <c r="CA39"/>
  <c r="AA39"/>
  <c r="CB34"/>
  <c r="AB34"/>
  <c r="AE52"/>
  <c r="CG52"/>
  <c r="X9"/>
  <c r="CB10"/>
  <c r="AB10"/>
  <c r="BU10"/>
  <c r="W10"/>
  <c r="S9"/>
  <c r="BO36"/>
  <c r="BI76"/>
  <c r="K66"/>
  <c r="AL63"/>
  <c r="AL76"/>
  <c r="AL66" s="1"/>
  <c r="CB111"/>
  <c r="AB111"/>
  <c r="CG96"/>
  <c r="AE96"/>
  <c r="CG95"/>
  <c r="AE95"/>
  <c r="CG94"/>
  <c r="AE94"/>
  <c r="CG93"/>
  <c r="AE93"/>
  <c r="CG92"/>
  <c r="AE92"/>
  <c r="CN94"/>
  <c r="AJ94"/>
  <c r="CN92"/>
  <c r="AJ92"/>
  <c r="CH89"/>
  <c r="AF89"/>
  <c r="CG91"/>
  <c r="AE91"/>
  <c r="BU87"/>
  <c r="W87"/>
  <c r="CB75"/>
  <c r="AB75"/>
  <c r="CA75"/>
  <c r="AA75"/>
  <c r="AB22"/>
  <c r="CB22"/>
  <c r="AB17"/>
  <c r="CB17"/>
  <c r="W12"/>
  <c r="BU12"/>
  <c r="AA11"/>
  <c r="CA11"/>
  <c r="U9"/>
  <c r="Y10"/>
  <c r="M63"/>
  <c r="M76"/>
  <c r="M66" s="1"/>
  <c r="CB11"/>
  <c r="AB11"/>
  <c r="CF9"/>
  <c r="CL10"/>
  <c r="BU20"/>
  <c r="W20"/>
  <c r="BV67"/>
  <c r="AK24"/>
  <c r="AO24" s="1"/>
  <c r="CA57"/>
  <c r="AA57"/>
  <c r="CA23"/>
  <c r="AA23"/>
  <c r="CA16"/>
  <c r="AA16"/>
  <c r="CB39"/>
  <c r="AB39"/>
  <c r="AA34"/>
  <c r="CA34"/>
  <c r="CA29"/>
  <c r="AA29"/>
  <c r="AF13"/>
  <c r="CH13"/>
  <c r="K63"/>
  <c r="BI8"/>
  <c r="S36"/>
  <c r="BY8"/>
  <c r="AO25"/>
  <c r="E25" s="1"/>
  <c r="CB69"/>
  <c r="AB69"/>
  <c r="AB67" s="1"/>
  <c r="AB55"/>
  <c r="CB55"/>
  <c r="BP36"/>
  <c r="P76"/>
  <c r="CB33"/>
  <c r="AB33"/>
  <c r="CA31"/>
  <c r="AA31"/>
  <c r="CB29"/>
  <c r="AB29"/>
  <c r="CH28"/>
  <c r="AF28"/>
  <c r="CA24"/>
  <c r="AA24"/>
  <c r="CB19"/>
  <c r="AB19"/>
  <c r="CA55"/>
  <c r="AA55"/>
  <c r="CE46"/>
  <c r="CK54"/>
  <c r="CB42"/>
  <c r="AB42"/>
  <c r="CA41"/>
  <c r="AA41"/>
  <c r="BG64"/>
  <c r="BG65"/>
  <c r="CA35"/>
  <c r="AA35"/>
  <c r="CA33"/>
  <c r="AA33"/>
  <c r="CB32"/>
  <c r="AB32"/>
  <c r="CB31"/>
  <c r="AB31"/>
  <c r="CA30"/>
  <c r="AA30"/>
  <c r="BU22"/>
  <c r="W22"/>
  <c r="BU17"/>
  <c r="W17"/>
  <c r="BU15"/>
  <c r="W15"/>
  <c r="CB12"/>
  <c r="AB12"/>
  <c r="AF41"/>
  <c r="CH41"/>
  <c r="CR38"/>
  <c r="CL37"/>
  <c r="AJ24"/>
  <c r="CN24"/>
  <c r="BU19"/>
  <c r="W19"/>
  <c r="DU16"/>
  <c r="BA16"/>
  <c r="DV16"/>
  <c r="AK19"/>
  <c r="AO19" s="1"/>
  <c r="BT65"/>
  <c r="AG17"/>
  <c r="DV22"/>
  <c r="Y26"/>
  <c r="AK28"/>
  <c r="AK26" s="1"/>
  <c r="CA111"/>
  <c r="AA111"/>
  <c r="CN96"/>
  <c r="AJ96"/>
  <c r="CN90"/>
  <c r="AJ90"/>
  <c r="CM88"/>
  <c r="AI88"/>
  <c r="CA86"/>
  <c r="AA86"/>
  <c r="CN88"/>
  <c r="AJ88"/>
  <c r="CH87"/>
  <c r="AF87"/>
  <c r="CB85"/>
  <c r="AB85"/>
  <c r="CB82"/>
  <c r="AB82"/>
  <c r="CA68"/>
  <c r="AA68"/>
  <c r="W67"/>
  <c r="W73"/>
  <c r="CA74"/>
  <c r="AA74"/>
  <c r="CB54"/>
  <c r="AB54"/>
  <c r="X46"/>
  <c r="CB46" s="1"/>
  <c r="CH68"/>
  <c r="AF68"/>
  <c r="CA27"/>
  <c r="AA27"/>
  <c r="CB23"/>
  <c r="AB23"/>
  <c r="BU21"/>
  <c r="W21"/>
  <c r="CB18"/>
  <c r="AB18"/>
  <c r="W18"/>
  <c r="BU18"/>
  <c r="BU14"/>
  <c r="W14"/>
  <c r="CA13"/>
  <c r="AA13"/>
  <c r="P63"/>
  <c r="BP8"/>
  <c r="BV9"/>
  <c r="BV65" s="1"/>
  <c r="T8"/>
  <c r="BO9"/>
  <c r="BO65" s="1"/>
  <c r="O8"/>
  <c r="AE32"/>
  <c r="CG32"/>
  <c r="CA84"/>
  <c r="AA84"/>
  <c r="CB81"/>
  <c r="AB81"/>
  <c r="X80"/>
  <c r="CA72"/>
  <c r="AA72"/>
  <c r="BR98"/>
  <c r="BP98"/>
  <c r="CB60"/>
  <c r="AB60"/>
  <c r="CB52"/>
  <c r="AB52"/>
  <c r="CA44"/>
  <c r="AA44"/>
  <c r="CA43"/>
  <c r="AA43"/>
  <c r="CA83"/>
  <c r="AA83"/>
  <c r="BV37"/>
  <c r="T36"/>
  <c r="CB38"/>
  <c r="AB38"/>
  <c r="X37"/>
  <c r="BY38"/>
  <c r="CA38" s="1"/>
  <c r="BS37"/>
  <c r="BS36" s="1"/>
  <c r="BS76" s="1"/>
  <c r="BS66" s="1"/>
  <c r="CL54"/>
  <c r="CF46"/>
  <c r="CF36" s="1"/>
  <c r="AF44"/>
  <c r="CH44"/>
  <c r="CH43"/>
  <c r="AF43"/>
  <c r="Q8"/>
  <c r="BZ8"/>
  <c r="BZ63" s="1"/>
  <c r="BZ64" s="1"/>
  <c r="BB28"/>
  <c r="F26"/>
  <c r="BB26" s="1"/>
  <c r="BB10"/>
  <c r="F9"/>
  <c r="AP8"/>
  <c r="CA71"/>
  <c r="AA71"/>
  <c r="W70"/>
  <c r="CA70" s="1"/>
  <c r="BO98"/>
  <c r="BQ98"/>
  <c r="CA85"/>
  <c r="AA85"/>
  <c r="CA82"/>
  <c r="AA82"/>
  <c r="BY73"/>
  <c r="CE74"/>
  <c r="CB83"/>
  <c r="AB83"/>
  <c r="CA81"/>
  <c r="AA81"/>
  <c r="W80"/>
  <c r="AF72"/>
  <c r="CH72"/>
  <c r="AE69"/>
  <c r="CG69"/>
  <c r="CF81"/>
  <c r="BZ80"/>
  <c r="CL74"/>
  <c r="CK71"/>
  <c r="CE70"/>
  <c r="CK68"/>
  <c r="CE67"/>
  <c r="CA60"/>
  <c r="AA60"/>
  <c r="CB27"/>
  <c r="AB27"/>
  <c r="X26"/>
  <c r="CB26" s="1"/>
  <c r="AB21"/>
  <c r="CB21"/>
  <c r="AB16"/>
  <c r="CB16"/>
  <c r="AA54"/>
  <c r="W46"/>
  <c r="CA46" s="1"/>
  <c r="CA54"/>
  <c r="AA38"/>
  <c r="W37"/>
  <c r="AF35"/>
  <c r="CH35"/>
  <c r="CK27"/>
  <c r="CE26"/>
  <c r="CL27"/>
  <c r="CF26"/>
  <c r="CK10"/>
  <c r="CE9"/>
  <c r="CO7"/>
  <c r="CQ7" s="1"/>
  <c r="CM7"/>
  <c r="CP7"/>
  <c r="CR7" s="1"/>
  <c r="CN7"/>
  <c r="AA90"/>
  <c r="CA90"/>
  <c r="CG89"/>
  <c r="AE89"/>
  <c r="CB86"/>
  <c r="AB86"/>
  <c r="CB84"/>
  <c r="AB84"/>
  <c r="CF75"/>
  <c r="CF73" s="1"/>
  <c r="AJ95"/>
  <c r="CN95"/>
  <c r="AJ93"/>
  <c r="CN93"/>
  <c r="CE75"/>
  <c r="X70"/>
  <c r="CB71"/>
  <c r="AB71"/>
  <c r="AJ91"/>
  <c r="CN91"/>
  <c r="CE81"/>
  <c r="BY80"/>
  <c r="AF57"/>
  <c r="CH57"/>
  <c r="CH30"/>
  <c r="AF30"/>
  <c r="CN25"/>
  <c r="AJ25"/>
  <c r="CH20"/>
  <c r="AF20"/>
  <c r="BV73"/>
  <c r="AO30"/>
  <c r="E30" s="1"/>
  <c r="BU38"/>
  <c r="BV70"/>
  <c r="W26" l="1"/>
  <c r="CA26" s="1"/>
  <c r="AA28"/>
  <c r="AK76" i="8"/>
  <c r="AA77" i="11"/>
  <c r="DU22" i="5"/>
  <c r="CA25"/>
  <c r="AK76" i="9"/>
  <c r="AB77" i="11"/>
  <c r="BZ76" i="5"/>
  <c r="BA12"/>
  <c r="DU12"/>
  <c r="BM65"/>
  <c r="DU20"/>
  <c r="AN74" i="9"/>
  <c r="AN75" s="1"/>
  <c r="BA13" i="5"/>
  <c r="DU13"/>
  <c r="DV13"/>
  <c r="O114" i="10"/>
  <c r="P114" s="1"/>
  <c r="Q114" s="1"/>
  <c r="AR114"/>
  <c r="BL115" i="8"/>
  <c r="BN115" s="1"/>
  <c r="AT115"/>
  <c r="CZ115" s="1"/>
  <c r="AH115"/>
  <c r="CN115" s="1"/>
  <c r="AE115"/>
  <c r="BF115"/>
  <c r="BC115"/>
  <c r="AZ115"/>
  <c r="DF115" s="1"/>
  <c r="AK115"/>
  <c r="AN115"/>
  <c r="CT115" s="1"/>
  <c r="AQ115"/>
  <c r="AB115"/>
  <c r="CH115" s="1"/>
  <c r="BJ115"/>
  <c r="AW115"/>
  <c r="BJ76" i="5"/>
  <c r="L66"/>
  <c r="CB70"/>
  <c r="BZ65"/>
  <c r="E24"/>
  <c r="DU24" s="1"/>
  <c r="DV12"/>
  <c r="AQ37" i="9"/>
  <c r="AQ37" i="8"/>
  <c r="AQ37" i="10"/>
  <c r="AJ94" i="11"/>
  <c r="AF91"/>
  <c r="CN91" s="1"/>
  <c r="CN94"/>
  <c r="BL116" i="8"/>
  <c r="BN116" s="1"/>
  <c r="AN116"/>
  <c r="CT116" s="1"/>
  <c r="AB116"/>
  <c r="CH116" s="1"/>
  <c r="AQ116"/>
  <c r="BY116" s="1"/>
  <c r="AT116"/>
  <c r="CZ116" s="1"/>
  <c r="AH116"/>
  <c r="CN116" s="1"/>
  <c r="AE116"/>
  <c r="BM116" s="1"/>
  <c r="BF116"/>
  <c r="BC116"/>
  <c r="CK116" s="1"/>
  <c r="AZ116"/>
  <c r="DF116" s="1"/>
  <c r="AK116"/>
  <c r="BS116" s="1"/>
  <c r="BJ116"/>
  <c r="AW116"/>
  <c r="CE116" s="1"/>
  <c r="AO28" i="5"/>
  <c r="AO26" s="1"/>
  <c r="O114" i="9"/>
  <c r="P114" s="1"/>
  <c r="Q114" s="1"/>
  <c r="AR114"/>
  <c r="CK87" i="11"/>
  <c r="CK77" s="1"/>
  <c r="BH117" i="8"/>
  <c r="DL117"/>
  <c r="Y117"/>
  <c r="Y116"/>
  <c r="Y115"/>
  <c r="CM94" i="11"/>
  <c r="AI94"/>
  <c r="AE91"/>
  <c r="CM91" s="1"/>
  <c r="CR94"/>
  <c r="CL91"/>
  <c r="CQ94"/>
  <c r="CK91"/>
  <c r="AN87" i="10"/>
  <c r="AN77" s="1"/>
  <c r="AF87" i="11"/>
  <c r="CN87" s="1"/>
  <c r="AB87" i="8"/>
  <c r="D77"/>
  <c r="AN87"/>
  <c r="AN77" s="1"/>
  <c r="BY12" i="11"/>
  <c r="BS76"/>
  <c r="BS75"/>
  <c r="M118"/>
  <c r="O114"/>
  <c r="BO114" s="1"/>
  <c r="BZ12"/>
  <c r="BT76"/>
  <c r="BT75"/>
  <c r="BL87" i="10"/>
  <c r="D77"/>
  <c r="AB87"/>
  <c r="BT114" i="11"/>
  <c r="BR118"/>
  <c r="BT118" s="1"/>
  <c r="BX114"/>
  <c r="BW114"/>
  <c r="J114" i="8"/>
  <c r="P114" i="11"/>
  <c r="BP114" s="1"/>
  <c r="N118"/>
  <c r="BQ118"/>
  <c r="BS118" s="1"/>
  <c r="BS114"/>
  <c r="AN87" i="9"/>
  <c r="AN77" s="1"/>
  <c r="CZ108" i="11"/>
  <c r="AR108"/>
  <c r="DE112"/>
  <c r="AU112"/>
  <c r="DK112" s="1"/>
  <c r="DE111"/>
  <c r="AU111"/>
  <c r="DK111" s="1"/>
  <c r="DE110"/>
  <c r="AU110"/>
  <c r="DK110" s="1"/>
  <c r="DE109"/>
  <c r="AU109"/>
  <c r="DK109" s="1"/>
  <c r="DF112"/>
  <c r="AV112"/>
  <c r="DL112" s="1"/>
  <c r="DF111"/>
  <c r="AV111"/>
  <c r="DL111" s="1"/>
  <c r="DF110"/>
  <c r="AV110"/>
  <c r="DL110" s="1"/>
  <c r="DF109"/>
  <c r="AV109"/>
  <c r="DL109" s="1"/>
  <c r="CW86"/>
  <c r="CW84" s="1"/>
  <c r="CY83"/>
  <c r="AQ83"/>
  <c r="CS10"/>
  <c r="AI9"/>
  <c r="DC82"/>
  <c r="CW81"/>
  <c r="DD85"/>
  <c r="DC85"/>
  <c r="CY28"/>
  <c r="AQ28"/>
  <c r="AM27"/>
  <c r="CY27" s="1"/>
  <c r="AB75"/>
  <c r="AB76"/>
  <c r="CZ92"/>
  <c r="AR92"/>
  <c r="DC92"/>
  <c r="CZ39"/>
  <c r="AR39"/>
  <c r="AN38"/>
  <c r="DC11"/>
  <c r="CW10"/>
  <c r="CZ55"/>
  <c r="AR55"/>
  <c r="AN47"/>
  <c r="CZ47" s="1"/>
  <c r="CT86"/>
  <c r="AN86"/>
  <c r="CY82"/>
  <c r="AQ82"/>
  <c r="AM81"/>
  <c r="CY81" s="1"/>
  <c r="CS86"/>
  <c r="AM86"/>
  <c r="AM84" s="1"/>
  <c r="CY84" s="1"/>
  <c r="CY85"/>
  <c r="AQ85"/>
  <c r="AF74"/>
  <c r="CN9"/>
  <c r="DC28"/>
  <c r="CW27"/>
  <c r="DM8"/>
  <c r="DK8"/>
  <c r="DD28"/>
  <c r="CX27"/>
  <c r="DN8"/>
  <c r="DL8"/>
  <c r="CY36"/>
  <c r="AQ36"/>
  <c r="CY35"/>
  <c r="AQ35"/>
  <c r="CY34"/>
  <c r="AQ34"/>
  <c r="CY33"/>
  <c r="AQ33"/>
  <c r="CY32"/>
  <c r="AQ32"/>
  <c r="CY31"/>
  <c r="AQ31"/>
  <c r="CY30"/>
  <c r="AQ30"/>
  <c r="CZ53"/>
  <c r="AR53"/>
  <c r="CZ45"/>
  <c r="AR45"/>
  <c r="CZ44"/>
  <c r="AR44"/>
  <c r="CZ43"/>
  <c r="AR43"/>
  <c r="CZ42"/>
  <c r="AR42"/>
  <c r="CZ40"/>
  <c r="AR40"/>
  <c r="CS38"/>
  <c r="AI37"/>
  <c r="CS37" s="1"/>
  <c r="CZ79"/>
  <c r="AR79"/>
  <c r="AN78"/>
  <c r="CR9"/>
  <c r="CR74" s="1"/>
  <c r="CY61"/>
  <c r="AQ61"/>
  <c r="CY58"/>
  <c r="AQ58"/>
  <c r="CY56"/>
  <c r="AQ56"/>
  <c r="CY53"/>
  <c r="AQ53"/>
  <c r="CY45"/>
  <c r="AQ45"/>
  <c r="CY44"/>
  <c r="AQ44"/>
  <c r="CY43"/>
  <c r="AQ43"/>
  <c r="CY42"/>
  <c r="AQ42"/>
  <c r="CY40"/>
  <c r="AQ40"/>
  <c r="CZ29"/>
  <c r="AR29"/>
  <c r="CZ85"/>
  <c r="AR85"/>
  <c r="AN84"/>
  <c r="CZ84" s="1"/>
  <c r="DE108"/>
  <c r="AU108"/>
  <c r="DK108" s="1"/>
  <c r="DE107"/>
  <c r="AU107"/>
  <c r="DK107" s="1"/>
  <c r="DE106"/>
  <c r="AU106"/>
  <c r="DK106" s="1"/>
  <c r="DE105"/>
  <c r="AU105"/>
  <c r="DK105" s="1"/>
  <c r="DE104"/>
  <c r="AU104"/>
  <c r="DK104" s="1"/>
  <c r="DE103"/>
  <c r="AU103"/>
  <c r="DK103" s="1"/>
  <c r="CY101"/>
  <c r="AQ101"/>
  <c r="CX86"/>
  <c r="CS78"/>
  <c r="CY16"/>
  <c r="AQ16"/>
  <c r="CY15"/>
  <c r="AQ15"/>
  <c r="CZ11"/>
  <c r="AR11"/>
  <c r="AN10"/>
  <c r="AE87"/>
  <c r="CY11"/>
  <c r="AQ11"/>
  <c r="AM10"/>
  <c r="CY26"/>
  <c r="AQ26"/>
  <c r="CY25"/>
  <c r="AQ25"/>
  <c r="CY24"/>
  <c r="AQ24"/>
  <c r="CY23"/>
  <c r="AQ23"/>
  <c r="CY22"/>
  <c r="AQ22"/>
  <c r="CY21"/>
  <c r="AQ21"/>
  <c r="CY20"/>
  <c r="AQ20"/>
  <c r="CY19"/>
  <c r="AQ19"/>
  <c r="CY18"/>
  <c r="AQ18"/>
  <c r="CY17"/>
  <c r="AQ17"/>
  <c r="CY14"/>
  <c r="AQ14"/>
  <c r="CY13"/>
  <c r="AQ13"/>
  <c r="CY12"/>
  <c r="AQ12"/>
  <c r="CZ26"/>
  <c r="AR26"/>
  <c r="CZ25"/>
  <c r="AR25"/>
  <c r="CZ24"/>
  <c r="AR24"/>
  <c r="CZ23"/>
  <c r="AR23"/>
  <c r="CZ22"/>
  <c r="AR22"/>
  <c r="CZ21"/>
  <c r="AR21"/>
  <c r="CZ20"/>
  <c r="AR20"/>
  <c r="CZ19"/>
  <c r="AR19"/>
  <c r="CZ18"/>
  <c r="AR18"/>
  <c r="CZ17"/>
  <c r="AR17"/>
  <c r="CZ14"/>
  <c r="AR14"/>
  <c r="CZ13"/>
  <c r="AR13"/>
  <c r="CZ12"/>
  <c r="AR12"/>
  <c r="CT101"/>
  <c r="AN101"/>
  <c r="CZ93"/>
  <c r="AR93"/>
  <c r="DJ55"/>
  <c r="DJ47" s="1"/>
  <c r="DD47"/>
  <c r="DD39"/>
  <c r="CX38"/>
  <c r="CX37" s="1"/>
  <c r="CY92"/>
  <c r="AQ92"/>
  <c r="AA75"/>
  <c r="AA76"/>
  <c r="CZ28"/>
  <c r="AR28"/>
  <c r="AN27"/>
  <c r="CZ27" s="1"/>
  <c r="CT38"/>
  <c r="AJ37"/>
  <c r="CT37" s="1"/>
  <c r="CZ82"/>
  <c r="AR82"/>
  <c r="AN81"/>
  <c r="CZ81" s="1"/>
  <c r="CQ9"/>
  <c r="CQ74" s="1"/>
  <c r="AE74"/>
  <c r="CM9"/>
  <c r="CY39"/>
  <c r="AQ39"/>
  <c r="AM38"/>
  <c r="CY80"/>
  <c r="AQ80"/>
  <c r="CZ83"/>
  <c r="AR83"/>
  <c r="CZ80"/>
  <c r="AR80"/>
  <c r="CZ61"/>
  <c r="AR61"/>
  <c r="CZ58"/>
  <c r="AR58"/>
  <c r="CZ56"/>
  <c r="AR56"/>
  <c r="DF102"/>
  <c r="AV102"/>
  <c r="DL102" s="1"/>
  <c r="CZ100"/>
  <c r="AR100"/>
  <c r="CZ99"/>
  <c r="AR99"/>
  <c r="CZ98"/>
  <c r="AR98"/>
  <c r="CZ97"/>
  <c r="AR97"/>
  <c r="CZ96"/>
  <c r="AR96"/>
  <c r="CZ95"/>
  <c r="AR95"/>
  <c r="DE102"/>
  <c r="AU102"/>
  <c r="DK102" s="1"/>
  <c r="CY100"/>
  <c r="AQ100"/>
  <c r="CY99"/>
  <c r="AQ99"/>
  <c r="CY98"/>
  <c r="AQ98"/>
  <c r="CY97"/>
  <c r="AQ97"/>
  <c r="CY96"/>
  <c r="AQ96"/>
  <c r="CY95"/>
  <c r="AQ95"/>
  <c r="DF107"/>
  <c r="AV107"/>
  <c r="DL107" s="1"/>
  <c r="DF106"/>
  <c r="AV106"/>
  <c r="DL106" s="1"/>
  <c r="DF105"/>
  <c r="AV105"/>
  <c r="DL105" s="1"/>
  <c r="DF104"/>
  <c r="AV104"/>
  <c r="DL104" s="1"/>
  <c r="DF103"/>
  <c r="AV103"/>
  <c r="DL103" s="1"/>
  <c r="CY93"/>
  <c r="AQ93"/>
  <c r="CT78"/>
  <c r="DD82"/>
  <c r="CX81"/>
  <c r="DD79"/>
  <c r="CX78"/>
  <c r="DD11"/>
  <c r="CX10"/>
  <c r="DI55"/>
  <c r="DI47" s="1"/>
  <c r="DC47"/>
  <c r="DC39"/>
  <c r="CW38"/>
  <c r="CW37" s="1"/>
  <c r="DC79"/>
  <c r="CW78"/>
  <c r="DD92"/>
  <c r="CY55"/>
  <c r="AQ55"/>
  <c r="AM47"/>
  <c r="CY47" s="1"/>
  <c r="CY79"/>
  <c r="AQ79"/>
  <c r="AM78"/>
  <c r="CZ36"/>
  <c r="AR36"/>
  <c r="CZ35"/>
  <c r="AR35"/>
  <c r="CZ34"/>
  <c r="AR34"/>
  <c r="CZ33"/>
  <c r="AR33"/>
  <c r="CZ32"/>
  <c r="AR32"/>
  <c r="CZ31"/>
  <c r="AR31"/>
  <c r="CZ30"/>
  <c r="AR30"/>
  <c r="CY29"/>
  <c r="AQ29"/>
  <c r="CT10"/>
  <c r="AJ9"/>
  <c r="CQ84"/>
  <c r="AI84"/>
  <c r="CS84" s="1"/>
  <c r="AJ84"/>
  <c r="CT84" s="1"/>
  <c r="CL87"/>
  <c r="CL77" s="1"/>
  <c r="AW92" i="10"/>
  <c r="AT91"/>
  <c r="AR39"/>
  <c r="Q39"/>
  <c r="O38"/>
  <c r="AO10"/>
  <c r="M9"/>
  <c r="AR56"/>
  <c r="Q56"/>
  <c r="AR92"/>
  <c r="Q92"/>
  <c r="O91"/>
  <c r="AR91" s="1"/>
  <c r="AQ9"/>
  <c r="AR94"/>
  <c r="Q94"/>
  <c r="AL37"/>
  <c r="K87"/>
  <c r="AR40"/>
  <c r="Q40"/>
  <c r="AR53"/>
  <c r="Q53"/>
  <c r="AR58"/>
  <c r="Q58"/>
  <c r="AR61"/>
  <c r="Q61"/>
  <c r="AW39"/>
  <c r="AT38"/>
  <c r="AW55"/>
  <c r="AT47"/>
  <c r="AW79"/>
  <c r="AT78"/>
  <c r="AW82"/>
  <c r="AT81"/>
  <c r="AW85"/>
  <c r="AR13"/>
  <c r="Q13"/>
  <c r="AR15"/>
  <c r="Q15"/>
  <c r="AR17"/>
  <c r="Q17"/>
  <c r="AR19"/>
  <c r="Q19"/>
  <c r="AR21"/>
  <c r="Q21"/>
  <c r="AR23"/>
  <c r="Q23"/>
  <c r="AR25"/>
  <c r="Q25"/>
  <c r="AI87"/>
  <c r="I77"/>
  <c r="AO78"/>
  <c r="AP114"/>
  <c r="AQ114" s="1"/>
  <c r="AR42"/>
  <c r="Q42"/>
  <c r="AR43"/>
  <c r="Q43"/>
  <c r="AR44"/>
  <c r="Q44"/>
  <c r="AR45"/>
  <c r="Q45"/>
  <c r="AO38"/>
  <c r="M37"/>
  <c r="AR11"/>
  <c r="Q11"/>
  <c r="O10"/>
  <c r="AR80"/>
  <c r="Q80"/>
  <c r="AW28"/>
  <c r="AT27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12"/>
  <c r="Q12"/>
  <c r="AR14"/>
  <c r="Q14"/>
  <c r="AR16"/>
  <c r="Q16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K74"/>
  <c r="AL9"/>
  <c r="AR55"/>
  <c r="Q55"/>
  <c r="O47"/>
  <c r="AR47" s="1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28"/>
  <c r="AR30"/>
  <c r="Q30"/>
  <c r="AR32"/>
  <c r="Q32"/>
  <c r="AR34"/>
  <c r="Q34"/>
  <c r="AR36"/>
  <c r="Q36"/>
  <c r="AR82"/>
  <c r="Q82"/>
  <c r="O81"/>
  <c r="AR81" s="1"/>
  <c r="AQ84"/>
  <c r="AN74"/>
  <c r="AW39" i="9"/>
  <c r="AT38"/>
  <c r="AW55"/>
  <c r="AT47"/>
  <c r="AW79"/>
  <c r="AT78"/>
  <c r="AW82"/>
  <c r="AT81"/>
  <c r="AW85"/>
  <c r="AR13"/>
  <c r="Q13"/>
  <c r="AR17"/>
  <c r="Q17"/>
  <c r="AR19"/>
  <c r="Q19"/>
  <c r="AR21"/>
  <c r="Q21"/>
  <c r="AR23"/>
  <c r="Q23"/>
  <c r="AR25"/>
  <c r="Q25"/>
  <c r="AW92"/>
  <c r="AT91"/>
  <c r="AR39"/>
  <c r="Q39"/>
  <c r="O38"/>
  <c r="AR30"/>
  <c r="Q30"/>
  <c r="AR32"/>
  <c r="Q32"/>
  <c r="AR34"/>
  <c r="Q34"/>
  <c r="AR36"/>
  <c r="Q36"/>
  <c r="AR82"/>
  <c r="Q82"/>
  <c r="O81"/>
  <c r="AR81" s="1"/>
  <c r="K74"/>
  <c r="AL9"/>
  <c r="AR55"/>
  <c r="Q55"/>
  <c r="O47"/>
  <c r="AR47" s="1"/>
  <c r="AO38"/>
  <c r="M37"/>
  <c r="AM118"/>
  <c r="AN118" s="1"/>
  <c r="AP114"/>
  <c r="AQ114" s="1"/>
  <c r="AR42"/>
  <c r="Q42"/>
  <c r="AR43"/>
  <c r="Q43"/>
  <c r="AR44"/>
  <c r="Q44"/>
  <c r="AR45"/>
  <c r="Q45"/>
  <c r="AW28"/>
  <c r="AT27"/>
  <c r="AR80"/>
  <c r="Q80"/>
  <c r="AO10"/>
  <c r="M9"/>
  <c r="AR56"/>
  <c r="Q56"/>
  <c r="AR12"/>
  <c r="Q12"/>
  <c r="AR14"/>
  <c r="Q14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AQ9"/>
  <c r="AU15"/>
  <c r="S15"/>
  <c r="AU16"/>
  <c r="S16"/>
  <c r="AR94"/>
  <c r="Q94"/>
  <c r="AI87"/>
  <c r="I77"/>
  <c r="AO78"/>
  <c r="AR92"/>
  <c r="Q92"/>
  <c r="O91"/>
  <c r="AR91" s="1"/>
  <c r="AR11"/>
  <c r="Q11"/>
  <c r="O10"/>
  <c r="AL37"/>
  <c r="K87"/>
  <c r="AR40"/>
  <c r="Q40"/>
  <c r="AR53"/>
  <c r="Q53"/>
  <c r="AR58"/>
  <c r="Q58"/>
  <c r="AR61"/>
  <c r="Q61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R79" i="8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Y8"/>
  <c r="AZ8" s="1"/>
  <c r="AX8"/>
  <c r="AW28"/>
  <c r="AT27"/>
  <c r="K74"/>
  <c r="AL9"/>
  <c r="AL37"/>
  <c r="K87"/>
  <c r="AR40"/>
  <c r="Q40"/>
  <c r="AR53"/>
  <c r="Q53"/>
  <c r="AR58"/>
  <c r="Q58"/>
  <c r="AR61"/>
  <c r="Q61"/>
  <c r="AR82"/>
  <c r="Q82"/>
  <c r="O81"/>
  <c r="AR81" s="1"/>
  <c r="AR80"/>
  <c r="Q80"/>
  <c r="AW11"/>
  <c r="AT10"/>
  <c r="AR55"/>
  <c r="Q55"/>
  <c r="O47"/>
  <c r="AR47" s="1"/>
  <c r="AO10"/>
  <c r="M9"/>
  <c r="AR39"/>
  <c r="Q39"/>
  <c r="O38"/>
  <c r="AR25"/>
  <c r="Q25"/>
  <c r="AR26"/>
  <c r="Q26"/>
  <c r="AN74"/>
  <c r="I75"/>
  <c r="I76"/>
  <c r="AR28"/>
  <c r="Q28"/>
  <c r="O27"/>
  <c r="AR27" s="1"/>
  <c r="AI87"/>
  <c r="I77"/>
  <c r="AO78"/>
  <c r="AR56"/>
  <c r="Q56"/>
  <c r="AW39"/>
  <c r="AT38"/>
  <c r="AW55"/>
  <c r="AT47"/>
  <c r="AW79"/>
  <c r="AT78"/>
  <c r="AW82"/>
  <c r="AT81"/>
  <c r="AW85"/>
  <c r="AR12"/>
  <c r="Q12"/>
  <c r="AR13"/>
  <c r="Q13"/>
  <c r="AR14"/>
  <c r="Q14"/>
  <c r="AR17"/>
  <c r="Q17"/>
  <c r="AR18"/>
  <c r="Q18"/>
  <c r="AR19"/>
  <c r="Q19"/>
  <c r="AR20"/>
  <c r="Q20"/>
  <c r="AR21"/>
  <c r="Q21"/>
  <c r="AR22"/>
  <c r="Q22"/>
  <c r="AR23"/>
  <c r="Q23"/>
  <c r="AR24"/>
  <c r="Q24"/>
  <c r="AW92"/>
  <c r="AT91"/>
  <c r="AR85"/>
  <c r="Q85"/>
  <c r="O84"/>
  <c r="AR84" s="1"/>
  <c r="AR86"/>
  <c r="Q86"/>
  <c r="AM118"/>
  <c r="AN118" s="1"/>
  <c r="AP114"/>
  <c r="AQ114" s="1"/>
  <c r="AR94"/>
  <c r="Q94"/>
  <c r="AR42"/>
  <c r="Q42"/>
  <c r="AR43"/>
  <c r="Q43"/>
  <c r="AR44"/>
  <c r="Q44"/>
  <c r="AR45"/>
  <c r="Q45"/>
  <c r="AR29"/>
  <c r="Q29"/>
  <c r="AR30"/>
  <c r="Q30"/>
  <c r="AR31"/>
  <c r="Q31"/>
  <c r="AR32"/>
  <c r="Q32"/>
  <c r="AR33"/>
  <c r="Q33"/>
  <c r="AR34"/>
  <c r="Q34"/>
  <c r="AR35"/>
  <c r="Q35"/>
  <c r="AR36"/>
  <c r="Q36"/>
  <c r="AR92"/>
  <c r="Q92"/>
  <c r="O91"/>
  <c r="AR91" s="1"/>
  <c r="AQ9"/>
  <c r="AU15"/>
  <c r="S15"/>
  <c r="AU16"/>
  <c r="S16"/>
  <c r="AR11"/>
  <c r="Q11"/>
  <c r="O10"/>
  <c r="AO38"/>
  <c r="M37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DU30" i="5"/>
  <c r="BA30"/>
  <c r="DV30"/>
  <c r="DU25"/>
  <c r="DV25"/>
  <c r="BA25"/>
  <c r="CN20"/>
  <c r="AJ20"/>
  <c r="CT25"/>
  <c r="AN25"/>
  <c r="CN30"/>
  <c r="AJ30"/>
  <c r="AB70"/>
  <c r="CH71"/>
  <c r="AF71"/>
  <c r="CT93"/>
  <c r="AN93"/>
  <c r="CT95"/>
  <c r="AN95"/>
  <c r="CG90"/>
  <c r="AE90"/>
  <c r="CV7"/>
  <c r="CX7" s="1"/>
  <c r="CT7"/>
  <c r="CU7"/>
  <c r="CW7" s="1"/>
  <c r="CS7"/>
  <c r="CQ10"/>
  <c r="CK9"/>
  <c r="CR27"/>
  <c r="CL26"/>
  <c r="CQ27"/>
  <c r="CK26"/>
  <c r="AJ35"/>
  <c r="CN35"/>
  <c r="AA37"/>
  <c r="AE38"/>
  <c r="AA46"/>
  <c r="CG46" s="1"/>
  <c r="CG54"/>
  <c r="AE54"/>
  <c r="AF16"/>
  <c r="CH16"/>
  <c r="AF21"/>
  <c r="CH21"/>
  <c r="CH27"/>
  <c r="AF27"/>
  <c r="AB26"/>
  <c r="CH26" s="1"/>
  <c r="CG60"/>
  <c r="AE60"/>
  <c r="CG71"/>
  <c r="AE71"/>
  <c r="AA70"/>
  <c r="CG70" s="1"/>
  <c r="AP63"/>
  <c r="AP76"/>
  <c r="AP66" s="1"/>
  <c r="F99"/>
  <c r="BB9"/>
  <c r="BB65" s="1"/>
  <c r="F8"/>
  <c r="Q63"/>
  <c r="Q76"/>
  <c r="Q66" s="1"/>
  <c r="CN43"/>
  <c r="AJ43"/>
  <c r="CB37"/>
  <c r="X36"/>
  <c r="BR99"/>
  <c r="BT98"/>
  <c r="CH81"/>
  <c r="AB80"/>
  <c r="AF81"/>
  <c r="CG84"/>
  <c r="AE84"/>
  <c r="O63"/>
  <c r="BO8"/>
  <c r="CG13"/>
  <c r="AE13"/>
  <c r="CA14"/>
  <c r="AA14"/>
  <c r="CH18"/>
  <c r="AF18"/>
  <c r="CA21"/>
  <c r="AA21"/>
  <c r="CH23"/>
  <c r="AF23"/>
  <c r="CN68"/>
  <c r="AJ68"/>
  <c r="CA67"/>
  <c r="AN24"/>
  <c r="CT24"/>
  <c r="CX38"/>
  <c r="CR37"/>
  <c r="AJ41"/>
  <c r="CN41"/>
  <c r="CH55"/>
  <c r="AF55"/>
  <c r="K64"/>
  <c r="K65"/>
  <c r="AJ13"/>
  <c r="CN13"/>
  <c r="AE34"/>
  <c r="CG34"/>
  <c r="CF8"/>
  <c r="CF63" s="1"/>
  <c r="CF64" s="1"/>
  <c r="M64"/>
  <c r="M65"/>
  <c r="U8"/>
  <c r="CG11"/>
  <c r="AE11"/>
  <c r="CA12"/>
  <c r="AA12"/>
  <c r="AF17"/>
  <c r="CH17"/>
  <c r="AF22"/>
  <c r="CH22"/>
  <c r="CH75"/>
  <c r="AF75"/>
  <c r="AL64"/>
  <c r="AL65"/>
  <c r="CA10"/>
  <c r="AA10"/>
  <c r="W9"/>
  <c r="AB9"/>
  <c r="CH10"/>
  <c r="AF10"/>
  <c r="CB9"/>
  <c r="CB65" s="1"/>
  <c r="X8"/>
  <c r="AI52"/>
  <c r="CM52"/>
  <c r="CH74"/>
  <c r="AF74"/>
  <c r="AB73"/>
  <c r="CH73" s="1"/>
  <c r="CA80"/>
  <c r="E19"/>
  <c r="BU37"/>
  <c r="BZ66"/>
  <c r="AK14"/>
  <c r="AO14" s="1"/>
  <c r="AJ57"/>
  <c r="CN57"/>
  <c r="CK81"/>
  <c r="CE80"/>
  <c r="AN91"/>
  <c r="CT91"/>
  <c r="CK75"/>
  <c r="CL75"/>
  <c r="CL73" s="1"/>
  <c r="CH84"/>
  <c r="AF84"/>
  <c r="CH86"/>
  <c r="AF86"/>
  <c r="CM89"/>
  <c r="AI89"/>
  <c r="CE8"/>
  <c r="W36"/>
  <c r="CQ68"/>
  <c r="CK67"/>
  <c r="CQ71"/>
  <c r="CK70"/>
  <c r="CR74"/>
  <c r="CL81"/>
  <c r="CF80"/>
  <c r="CM69"/>
  <c r="AI69"/>
  <c r="AJ72"/>
  <c r="CN72"/>
  <c r="AE81"/>
  <c r="CG81"/>
  <c r="AA80"/>
  <c r="CH83"/>
  <c r="AF83"/>
  <c r="CE73"/>
  <c r="CK74"/>
  <c r="CG82"/>
  <c r="AE82"/>
  <c r="CG85"/>
  <c r="AE85"/>
  <c r="BQ99"/>
  <c r="BS98"/>
  <c r="CN44"/>
  <c r="AJ44"/>
  <c r="CR54"/>
  <c r="CL46"/>
  <c r="CL36" s="1"/>
  <c r="CE38"/>
  <c r="BY37"/>
  <c r="BY36" s="1"/>
  <c r="BY76" s="1"/>
  <c r="BY66" s="1"/>
  <c r="AF38"/>
  <c r="CH38"/>
  <c r="AB37"/>
  <c r="BV36"/>
  <c r="T76"/>
  <c r="CG83"/>
  <c r="AE83"/>
  <c r="CG43"/>
  <c r="AE43"/>
  <c r="CG44"/>
  <c r="AE44"/>
  <c r="CH52"/>
  <c r="AF52"/>
  <c r="CH60"/>
  <c r="AF60"/>
  <c r="CG72"/>
  <c r="AE72"/>
  <c r="AI32"/>
  <c r="CM32"/>
  <c r="T63"/>
  <c r="BV8"/>
  <c r="P64"/>
  <c r="P65"/>
  <c r="CA18"/>
  <c r="AA18"/>
  <c r="CG27"/>
  <c r="AE27"/>
  <c r="AA26"/>
  <c r="CG26" s="1"/>
  <c r="CH67"/>
  <c r="CH54"/>
  <c r="AF54"/>
  <c r="AB46"/>
  <c r="CH46" s="1"/>
  <c r="AA73"/>
  <c r="CG74"/>
  <c r="AE74"/>
  <c r="CG68"/>
  <c r="AE68"/>
  <c r="AA67"/>
  <c r="CH82"/>
  <c r="AF82"/>
  <c r="CH85"/>
  <c r="AF85"/>
  <c r="CN87"/>
  <c r="AJ87"/>
  <c r="CT88"/>
  <c r="AN88"/>
  <c r="CG86"/>
  <c r="AE86"/>
  <c r="CS88"/>
  <c r="AM88"/>
  <c r="CT90"/>
  <c r="AN90"/>
  <c r="CT96"/>
  <c r="AN96"/>
  <c r="CG111"/>
  <c r="AE111"/>
  <c r="AK17"/>
  <c r="CG28"/>
  <c r="AE28"/>
  <c r="AA19"/>
  <c r="CA19"/>
  <c r="CH12"/>
  <c r="AF12"/>
  <c r="CA15"/>
  <c r="AA15"/>
  <c r="CA17"/>
  <c r="AA17"/>
  <c r="CA22"/>
  <c r="AA22"/>
  <c r="CG30"/>
  <c r="AE30"/>
  <c r="CH31"/>
  <c r="AF31"/>
  <c r="CH32"/>
  <c r="AF32"/>
  <c r="CG33"/>
  <c r="AE33"/>
  <c r="CG35"/>
  <c r="AE35"/>
  <c r="CG41"/>
  <c r="AE41"/>
  <c r="CH42"/>
  <c r="AF42"/>
  <c r="CK46"/>
  <c r="CQ54"/>
  <c r="CG55"/>
  <c r="AE55"/>
  <c r="CH19"/>
  <c r="AF19"/>
  <c r="CG24"/>
  <c r="AE24"/>
  <c r="CN28"/>
  <c r="AJ28"/>
  <c r="CH29"/>
  <c r="AF29"/>
  <c r="CG31"/>
  <c r="AE31"/>
  <c r="CH33"/>
  <c r="AF33"/>
  <c r="BP76"/>
  <c r="P66"/>
  <c r="CH69"/>
  <c r="AF69"/>
  <c r="BU36"/>
  <c r="CG29"/>
  <c r="AE29"/>
  <c r="CH39"/>
  <c r="AF39"/>
  <c r="CG16"/>
  <c r="AE16"/>
  <c r="CG23"/>
  <c r="AE23"/>
  <c r="CG57"/>
  <c r="AE57"/>
  <c r="CG25"/>
  <c r="AE25"/>
  <c r="CA20"/>
  <c r="AA20"/>
  <c r="CL9"/>
  <c r="CR10"/>
  <c r="CH11"/>
  <c r="AF11"/>
  <c r="AG10"/>
  <c r="AK10" s="1"/>
  <c r="Y9"/>
  <c r="CG75"/>
  <c r="AE75"/>
  <c r="CA87"/>
  <c r="AA87"/>
  <c r="CM91"/>
  <c r="AI91"/>
  <c r="CN89"/>
  <c r="AJ89"/>
  <c r="CT92"/>
  <c r="AN92"/>
  <c r="CT94"/>
  <c r="AN94"/>
  <c r="CM92"/>
  <c r="AI92"/>
  <c r="CM93"/>
  <c r="AI93"/>
  <c r="CM94"/>
  <c r="AI94"/>
  <c r="CM95"/>
  <c r="AI95"/>
  <c r="CM96"/>
  <c r="AI96"/>
  <c r="CH111"/>
  <c r="AF111"/>
  <c r="BU9"/>
  <c r="BU65" s="1"/>
  <c r="S8"/>
  <c r="CH34"/>
  <c r="AF34"/>
  <c r="CG39"/>
  <c r="AE39"/>
  <c r="CG42"/>
  <c r="AE42"/>
  <c r="CF70"/>
  <c r="CL71"/>
  <c r="CB80"/>
  <c r="CA73"/>
  <c r="AO17"/>
  <c r="E17" s="1"/>
  <c r="BS63"/>
  <c r="O76"/>
  <c r="AN76" i="9" l="1"/>
  <c r="BY63" i="5"/>
  <c r="BY65" s="1"/>
  <c r="AQ74" i="9"/>
  <c r="AQ75" s="1"/>
  <c r="CR87" i="11"/>
  <c r="CR77" s="1"/>
  <c r="CG80" i="5"/>
  <c r="CG73"/>
  <c r="DV24"/>
  <c r="BA24"/>
  <c r="AQ74" i="10"/>
  <c r="AQ75" s="1"/>
  <c r="CT94" i="11"/>
  <c r="AJ91"/>
  <c r="CT91" s="1"/>
  <c r="AN94"/>
  <c r="CF76" i="5"/>
  <c r="CF66" s="1"/>
  <c r="AF77" i="11"/>
  <c r="DL115" i="8"/>
  <c r="BH115"/>
  <c r="E28" i="5"/>
  <c r="BA28" s="1"/>
  <c r="AQ74" i="8"/>
  <c r="AQ75" s="1"/>
  <c r="AQ87" i="10"/>
  <c r="AQ77" s="1"/>
  <c r="DL116" i="8"/>
  <c r="BH116"/>
  <c r="AA115"/>
  <c r="AA116"/>
  <c r="CX94" i="11"/>
  <c r="CR91"/>
  <c r="CS94"/>
  <c r="AM94"/>
  <c r="AI91"/>
  <c r="CS91" s="1"/>
  <c r="CW94"/>
  <c r="CQ91"/>
  <c r="AQ87" i="9"/>
  <c r="AQ77" s="1"/>
  <c r="AQ76"/>
  <c r="R114" i="11"/>
  <c r="Q114"/>
  <c r="K114" i="8"/>
  <c r="AO114" s="1"/>
  <c r="BY114" i="11"/>
  <c r="BW118"/>
  <c r="BY118" s="1"/>
  <c r="CE12"/>
  <c r="BY75"/>
  <c r="BY76"/>
  <c r="CD114"/>
  <c r="CC114"/>
  <c r="BX118"/>
  <c r="BZ118" s="1"/>
  <c r="BZ114"/>
  <c r="CF12"/>
  <c r="BZ75"/>
  <c r="BZ76"/>
  <c r="DE29"/>
  <c r="AU29"/>
  <c r="DK29" s="1"/>
  <c r="DF30"/>
  <c r="AV30"/>
  <c r="DL30" s="1"/>
  <c r="DF31"/>
  <c r="AV31"/>
  <c r="DL31" s="1"/>
  <c r="DF32"/>
  <c r="AV32"/>
  <c r="DL32" s="1"/>
  <c r="DF33"/>
  <c r="AV33"/>
  <c r="DL33" s="1"/>
  <c r="DF34"/>
  <c r="AV34"/>
  <c r="DL34" s="1"/>
  <c r="DF35"/>
  <c r="AV35"/>
  <c r="DL35" s="1"/>
  <c r="DF36"/>
  <c r="AV36"/>
  <c r="DL36" s="1"/>
  <c r="CY78"/>
  <c r="DE55"/>
  <c r="AU55"/>
  <c r="AQ47"/>
  <c r="DE47" s="1"/>
  <c r="CX9"/>
  <c r="CX74" s="1"/>
  <c r="DE93"/>
  <c r="AU93"/>
  <c r="DK93" s="1"/>
  <c r="DE95"/>
  <c r="AU95"/>
  <c r="DK95" s="1"/>
  <c r="DE96"/>
  <c r="AU96"/>
  <c r="DK96" s="1"/>
  <c r="DE97"/>
  <c r="AU97"/>
  <c r="DK97" s="1"/>
  <c r="DE98"/>
  <c r="AU98"/>
  <c r="DK98" s="1"/>
  <c r="DE99"/>
  <c r="AU99"/>
  <c r="DK99" s="1"/>
  <c r="DE100"/>
  <c r="AU100"/>
  <c r="DK100" s="1"/>
  <c r="DF95"/>
  <c r="AV95"/>
  <c r="DL95" s="1"/>
  <c r="DF96"/>
  <c r="AV96"/>
  <c r="DL96" s="1"/>
  <c r="DF97"/>
  <c r="AV97"/>
  <c r="DL97" s="1"/>
  <c r="DF98"/>
  <c r="AV98"/>
  <c r="DL98" s="1"/>
  <c r="DF99"/>
  <c r="AV99"/>
  <c r="DL99" s="1"/>
  <c r="DF100"/>
  <c r="AV100"/>
  <c r="DL100" s="1"/>
  <c r="DF56"/>
  <c r="AV56"/>
  <c r="DL56" s="1"/>
  <c r="DF58"/>
  <c r="AV58"/>
  <c r="DL58" s="1"/>
  <c r="DF61"/>
  <c r="AV61"/>
  <c r="DL61" s="1"/>
  <c r="DF80"/>
  <c r="AV80"/>
  <c r="DL80" s="1"/>
  <c r="DF83"/>
  <c r="AV83"/>
  <c r="DL83" s="1"/>
  <c r="DE80"/>
  <c r="AU80"/>
  <c r="DK80" s="1"/>
  <c r="CY38"/>
  <c r="AM37"/>
  <c r="CY37" s="1"/>
  <c r="AE75"/>
  <c r="AE76"/>
  <c r="DF82"/>
  <c r="AV82"/>
  <c r="AR81"/>
  <c r="DF81" s="1"/>
  <c r="DE92"/>
  <c r="AU92"/>
  <c r="DF93"/>
  <c r="AV93"/>
  <c r="DL93" s="1"/>
  <c r="CZ101"/>
  <c r="AR101"/>
  <c r="DF12"/>
  <c r="AV12"/>
  <c r="DL12" s="1"/>
  <c r="DF13"/>
  <c r="AV13"/>
  <c r="DL13" s="1"/>
  <c r="DF14"/>
  <c r="AV14"/>
  <c r="DL14" s="1"/>
  <c r="DF17"/>
  <c r="AV17"/>
  <c r="DL17" s="1"/>
  <c r="DF18"/>
  <c r="AV18"/>
  <c r="DL18" s="1"/>
  <c r="DF19"/>
  <c r="AV19"/>
  <c r="DL19" s="1"/>
  <c r="DF20"/>
  <c r="AV20"/>
  <c r="DL20" s="1"/>
  <c r="DF21"/>
  <c r="AV21"/>
  <c r="DL21" s="1"/>
  <c r="DF22"/>
  <c r="AV22"/>
  <c r="DL22" s="1"/>
  <c r="DF23"/>
  <c r="AV23"/>
  <c r="DL23" s="1"/>
  <c r="DF24"/>
  <c r="AV24"/>
  <c r="DL24" s="1"/>
  <c r="DF25"/>
  <c r="AV25"/>
  <c r="DL25" s="1"/>
  <c r="DF26"/>
  <c r="AV26"/>
  <c r="DL26" s="1"/>
  <c r="DE12"/>
  <c r="AU12"/>
  <c r="DK12" s="1"/>
  <c r="DE13"/>
  <c r="AU13"/>
  <c r="DK13" s="1"/>
  <c r="DE14"/>
  <c r="AU14"/>
  <c r="DK14" s="1"/>
  <c r="DE17"/>
  <c r="AU17"/>
  <c r="DK17" s="1"/>
  <c r="DE18"/>
  <c r="AU18"/>
  <c r="DK18" s="1"/>
  <c r="DE19"/>
  <c r="AU19"/>
  <c r="DK19" s="1"/>
  <c r="DE20"/>
  <c r="AU20"/>
  <c r="DK20" s="1"/>
  <c r="DE21"/>
  <c r="AU21"/>
  <c r="DK21" s="1"/>
  <c r="DE22"/>
  <c r="AU22"/>
  <c r="DK22" s="1"/>
  <c r="DE23"/>
  <c r="AU23"/>
  <c r="DK23" s="1"/>
  <c r="DE24"/>
  <c r="AU24"/>
  <c r="DK24" s="1"/>
  <c r="DE25"/>
  <c r="AU25"/>
  <c r="DK25" s="1"/>
  <c r="DE26"/>
  <c r="AU26"/>
  <c r="DK26" s="1"/>
  <c r="CY10"/>
  <c r="AM9"/>
  <c r="DF11"/>
  <c r="AV11"/>
  <c r="AR10"/>
  <c r="AU15"/>
  <c r="DK15" s="1"/>
  <c r="DE15"/>
  <c r="AU16"/>
  <c r="DK16" s="1"/>
  <c r="DE16"/>
  <c r="DD86"/>
  <c r="DE101"/>
  <c r="AU101"/>
  <c r="DK101" s="1"/>
  <c r="DF79"/>
  <c r="AV79"/>
  <c r="AR78"/>
  <c r="DF40"/>
  <c r="AV40"/>
  <c r="DL40" s="1"/>
  <c r="DF42"/>
  <c r="AV42"/>
  <c r="DL42" s="1"/>
  <c r="DF43"/>
  <c r="AV43"/>
  <c r="DL43" s="1"/>
  <c r="DF44"/>
  <c r="AV44"/>
  <c r="DL44" s="1"/>
  <c r="DF45"/>
  <c r="AV45"/>
  <c r="DL45" s="1"/>
  <c r="DF53"/>
  <c r="AV53"/>
  <c r="DL53" s="1"/>
  <c r="DE30"/>
  <c r="AU30"/>
  <c r="DK30" s="1"/>
  <c r="DE31"/>
  <c r="AU31"/>
  <c r="DK31" s="1"/>
  <c r="DE32"/>
  <c r="AU32"/>
  <c r="DK32" s="1"/>
  <c r="DE33"/>
  <c r="AU33"/>
  <c r="DK33" s="1"/>
  <c r="DE34"/>
  <c r="AU34"/>
  <c r="DK34" s="1"/>
  <c r="DE35"/>
  <c r="AU35"/>
  <c r="DK35" s="1"/>
  <c r="DE36"/>
  <c r="AU36"/>
  <c r="DK36" s="1"/>
  <c r="DI11"/>
  <c r="DI10" s="1"/>
  <c r="DC10"/>
  <c r="DF39"/>
  <c r="AV39"/>
  <c r="AR38"/>
  <c r="DE28"/>
  <c r="AU28"/>
  <c r="AQ27"/>
  <c r="DE27" s="1"/>
  <c r="AI74"/>
  <c r="CS9"/>
  <c r="CX84"/>
  <c r="CQ87"/>
  <c r="CQ77" s="1"/>
  <c r="AJ74"/>
  <c r="CT9"/>
  <c r="DE79"/>
  <c r="AU79"/>
  <c r="AQ78"/>
  <c r="DJ92"/>
  <c r="DI79"/>
  <c r="DI78" s="1"/>
  <c r="DC78"/>
  <c r="DI39"/>
  <c r="DI38" s="1"/>
  <c r="DI37" s="1"/>
  <c r="DC38"/>
  <c r="DC37" s="1"/>
  <c r="DJ11"/>
  <c r="DJ10" s="1"/>
  <c r="DD10"/>
  <c r="DJ79"/>
  <c r="DJ78" s="1"/>
  <c r="DD78"/>
  <c r="DJ82"/>
  <c r="DJ81" s="1"/>
  <c r="DD81"/>
  <c r="DE39"/>
  <c r="AU39"/>
  <c r="AQ38"/>
  <c r="DF28"/>
  <c r="AV28"/>
  <c r="AR27"/>
  <c r="DF27" s="1"/>
  <c r="DJ39"/>
  <c r="DJ38" s="1"/>
  <c r="DJ37" s="1"/>
  <c r="DD38"/>
  <c r="DD37" s="1"/>
  <c r="DE11"/>
  <c r="AU11"/>
  <c r="AQ10"/>
  <c r="CM87"/>
  <c r="AE77"/>
  <c r="CZ10"/>
  <c r="AN9"/>
  <c r="DF85"/>
  <c r="AV85"/>
  <c r="DF29"/>
  <c r="AV29"/>
  <c r="DL29" s="1"/>
  <c r="DE40"/>
  <c r="AU40"/>
  <c r="DK40" s="1"/>
  <c r="DE42"/>
  <c r="AU42"/>
  <c r="DK42" s="1"/>
  <c r="DE43"/>
  <c r="AU43"/>
  <c r="DK43" s="1"/>
  <c r="DE44"/>
  <c r="AU44"/>
  <c r="DK44" s="1"/>
  <c r="DE45"/>
  <c r="AU45"/>
  <c r="DK45" s="1"/>
  <c r="DE53"/>
  <c r="AU53"/>
  <c r="DK53" s="1"/>
  <c r="DE56"/>
  <c r="AU56"/>
  <c r="DK56" s="1"/>
  <c r="DE58"/>
  <c r="AU58"/>
  <c r="DK58" s="1"/>
  <c r="DE61"/>
  <c r="AU61"/>
  <c r="DK61" s="1"/>
  <c r="CZ78"/>
  <c r="DJ28"/>
  <c r="DJ27" s="1"/>
  <c r="DD27"/>
  <c r="DI28"/>
  <c r="DI27" s="1"/>
  <c r="DC27"/>
  <c r="AF75"/>
  <c r="AF76"/>
  <c r="DE85"/>
  <c r="AU85"/>
  <c r="CY86"/>
  <c r="AQ86"/>
  <c r="AQ84" s="1"/>
  <c r="DE84" s="1"/>
  <c r="DE82"/>
  <c r="AU82"/>
  <c r="AQ81"/>
  <c r="DE81" s="1"/>
  <c r="CZ86"/>
  <c r="AR86"/>
  <c r="DF55"/>
  <c r="AV55"/>
  <c r="AR47"/>
  <c r="DF47" s="1"/>
  <c r="CW9"/>
  <c r="CW74" s="1"/>
  <c r="CZ38"/>
  <c r="AN37"/>
  <c r="CZ37" s="1"/>
  <c r="DI92"/>
  <c r="DF92"/>
  <c r="AV92"/>
  <c r="DI85"/>
  <c r="DJ85"/>
  <c r="DD84"/>
  <c r="DI82"/>
  <c r="DI81" s="1"/>
  <c r="DC81"/>
  <c r="DE83"/>
  <c r="AU83"/>
  <c r="DK83" s="1"/>
  <c r="DC86"/>
  <c r="DF108"/>
  <c r="AV108"/>
  <c r="DL108" s="1"/>
  <c r="AI87"/>
  <c r="CS87" s="1"/>
  <c r="AJ87"/>
  <c r="CT87" s="1"/>
  <c r="AN75" i="10"/>
  <c r="AN76"/>
  <c r="AU82"/>
  <c r="S82"/>
  <c r="Q81"/>
  <c r="AU81" s="1"/>
  <c r="AU79"/>
  <c r="S79"/>
  <c r="Q78"/>
  <c r="K75"/>
  <c r="K76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6"/>
  <c r="S16"/>
  <c r="AU14"/>
  <c r="S14"/>
  <c r="AU12"/>
  <c r="S12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U83"/>
  <c r="S83"/>
  <c r="AU28"/>
  <c r="S28"/>
  <c r="Q27"/>
  <c r="AU27" s="1"/>
  <c r="AT9"/>
  <c r="AU80"/>
  <c r="S80"/>
  <c r="AU11"/>
  <c r="S11"/>
  <c r="Q10"/>
  <c r="AO37"/>
  <c r="M87"/>
  <c r="AU45"/>
  <c r="S45"/>
  <c r="AU44"/>
  <c r="S44"/>
  <c r="AU43"/>
  <c r="S43"/>
  <c r="AU42"/>
  <c r="S42"/>
  <c r="AS114"/>
  <c r="AT114" s="1"/>
  <c r="AU114"/>
  <c r="R114"/>
  <c r="S114" s="1"/>
  <c r="AU25"/>
  <c r="S25"/>
  <c r="AU23"/>
  <c r="S23"/>
  <c r="AU21"/>
  <c r="S21"/>
  <c r="AU19"/>
  <c r="S19"/>
  <c r="AU17"/>
  <c r="S17"/>
  <c r="AU15"/>
  <c r="S15"/>
  <c r="AU13"/>
  <c r="S13"/>
  <c r="AU61"/>
  <c r="S61"/>
  <c r="AU58"/>
  <c r="S58"/>
  <c r="AU53"/>
  <c r="S53"/>
  <c r="AU40"/>
  <c r="S40"/>
  <c r="AL87"/>
  <c r="K77"/>
  <c r="AU92"/>
  <c r="S92"/>
  <c r="Q91"/>
  <c r="AU91" s="1"/>
  <c r="AU56"/>
  <c r="S56"/>
  <c r="AR38"/>
  <c r="O37"/>
  <c r="AZ92"/>
  <c r="AW91"/>
  <c r="AT84"/>
  <c r="AT37"/>
  <c r="AU36"/>
  <c r="S36"/>
  <c r="AU34"/>
  <c r="S34"/>
  <c r="AU32"/>
  <c r="S32"/>
  <c r="AU30"/>
  <c r="S30"/>
  <c r="AU128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U55"/>
  <c r="S55"/>
  <c r="Q47"/>
  <c r="AU47" s="1"/>
  <c r="AZ11"/>
  <c r="AW10"/>
  <c r="BB8"/>
  <c r="BC8" s="1"/>
  <c r="BA8"/>
  <c r="AZ28"/>
  <c r="AW27"/>
  <c r="AR10"/>
  <c r="O9"/>
  <c r="AZ85"/>
  <c r="AW84"/>
  <c r="AZ82"/>
  <c r="AW81"/>
  <c r="AZ79"/>
  <c r="AW78"/>
  <c r="AZ55"/>
  <c r="AW47"/>
  <c r="AZ39"/>
  <c r="AW38"/>
  <c r="AU94"/>
  <c r="S94"/>
  <c r="M74"/>
  <c r="AO9"/>
  <c r="AU39"/>
  <c r="S39"/>
  <c r="Q38"/>
  <c r="AU79" i="9"/>
  <c r="S79"/>
  <c r="Q78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W84" s="1"/>
  <c r="AU83"/>
  <c r="S83"/>
  <c r="AU28"/>
  <c r="S28"/>
  <c r="Q27"/>
  <c r="AU27" s="1"/>
  <c r="AT9"/>
  <c r="AU61"/>
  <c r="S61"/>
  <c r="AU58"/>
  <c r="S58"/>
  <c r="AU53"/>
  <c r="S53"/>
  <c r="AU40"/>
  <c r="S40"/>
  <c r="AL87"/>
  <c r="K77"/>
  <c r="AU11"/>
  <c r="S11"/>
  <c r="Q10"/>
  <c r="AU94"/>
  <c r="S94"/>
  <c r="AX16"/>
  <c r="U16"/>
  <c r="AX15"/>
  <c r="U15"/>
  <c r="M74"/>
  <c r="AO9"/>
  <c r="AU45"/>
  <c r="S45"/>
  <c r="AU44"/>
  <c r="S44"/>
  <c r="AU43"/>
  <c r="S43"/>
  <c r="AU42"/>
  <c r="S42"/>
  <c r="AP118"/>
  <c r="AQ118" s="1"/>
  <c r="AS114"/>
  <c r="AT114" s="1"/>
  <c r="AU114"/>
  <c r="R114"/>
  <c r="S114" s="1"/>
  <c r="AU55"/>
  <c r="S55"/>
  <c r="Q47"/>
  <c r="AU47" s="1"/>
  <c r="AU36"/>
  <c r="S36"/>
  <c r="AU34"/>
  <c r="S34"/>
  <c r="AU32"/>
  <c r="S32"/>
  <c r="AU30"/>
  <c r="S30"/>
  <c r="AR38"/>
  <c r="O37"/>
  <c r="AZ92"/>
  <c r="AW91"/>
  <c r="AZ85"/>
  <c r="AZ82"/>
  <c r="AW81"/>
  <c r="AZ79"/>
  <c r="AW78"/>
  <c r="AZ55"/>
  <c r="AW47"/>
  <c r="AZ39"/>
  <c r="AW38"/>
  <c r="AU131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Z11"/>
  <c r="AW10"/>
  <c r="BB8"/>
  <c r="BC8" s="1"/>
  <c r="BA8"/>
  <c r="AR10"/>
  <c r="O9"/>
  <c r="AU92"/>
  <c r="S92"/>
  <c r="Q91"/>
  <c r="AU91" s="1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4"/>
  <c r="S14"/>
  <c r="AU12"/>
  <c r="S12"/>
  <c r="AU56"/>
  <c r="S56"/>
  <c r="AU80"/>
  <c r="S80"/>
  <c r="AZ28"/>
  <c r="AW27"/>
  <c r="AO37"/>
  <c r="M87"/>
  <c r="K75"/>
  <c r="K76"/>
  <c r="AU82"/>
  <c r="S82"/>
  <c r="Q81"/>
  <c r="AU81" s="1"/>
  <c r="AU39"/>
  <c r="S39"/>
  <c r="Q38"/>
  <c r="AU25"/>
  <c r="S25"/>
  <c r="AU23"/>
  <c r="S23"/>
  <c r="AU21"/>
  <c r="S21"/>
  <c r="AU19"/>
  <c r="S19"/>
  <c r="AU17"/>
  <c r="S17"/>
  <c r="AU13"/>
  <c r="S13"/>
  <c r="AT84"/>
  <c r="AT37"/>
  <c r="AX112" i="8"/>
  <c r="U112"/>
  <c r="AX108"/>
  <c r="U108"/>
  <c r="AX105"/>
  <c r="U105"/>
  <c r="AX102"/>
  <c r="U102"/>
  <c r="AU96"/>
  <c r="S96"/>
  <c r="AW86"/>
  <c r="AW84" s="1"/>
  <c r="AU11"/>
  <c r="S11"/>
  <c r="Q10"/>
  <c r="U16"/>
  <c r="AX16"/>
  <c r="AU23"/>
  <c r="S23"/>
  <c r="AU20"/>
  <c r="S20"/>
  <c r="AU19"/>
  <c r="S19"/>
  <c r="AU17"/>
  <c r="S17"/>
  <c r="AU13"/>
  <c r="S13"/>
  <c r="AU12"/>
  <c r="S12"/>
  <c r="AU56"/>
  <c r="S56"/>
  <c r="AU28"/>
  <c r="S28"/>
  <c r="Q27"/>
  <c r="AU27" s="1"/>
  <c r="AN75"/>
  <c r="AN76"/>
  <c r="AU39"/>
  <c r="S39"/>
  <c r="Q38"/>
  <c r="M74"/>
  <c r="AO9"/>
  <c r="AU55"/>
  <c r="S55"/>
  <c r="Q47"/>
  <c r="AU47" s="1"/>
  <c r="AT9"/>
  <c r="AU82"/>
  <c r="S82"/>
  <c r="Q81"/>
  <c r="AU81" s="1"/>
  <c r="AU58"/>
  <c r="S58"/>
  <c r="AU53"/>
  <c r="S53"/>
  <c r="AU40"/>
  <c r="S40"/>
  <c r="K75"/>
  <c r="K76"/>
  <c r="AU97"/>
  <c r="S97"/>
  <c r="AO37"/>
  <c r="M87"/>
  <c r="AR10"/>
  <c r="O9"/>
  <c r="AU92"/>
  <c r="S92"/>
  <c r="Q91"/>
  <c r="AU91" s="1"/>
  <c r="AU36"/>
  <c r="S36"/>
  <c r="AU35"/>
  <c r="S35"/>
  <c r="AU34"/>
  <c r="S34"/>
  <c r="AU33"/>
  <c r="S33"/>
  <c r="AU32"/>
  <c r="S32"/>
  <c r="AU31"/>
  <c r="S31"/>
  <c r="AU30"/>
  <c r="S30"/>
  <c r="AU29"/>
  <c r="S29"/>
  <c r="AU45"/>
  <c r="S45"/>
  <c r="AU44"/>
  <c r="S44"/>
  <c r="AU43"/>
  <c r="S43"/>
  <c r="AU42"/>
  <c r="S42"/>
  <c r="AU94"/>
  <c r="S94"/>
  <c r="AP118"/>
  <c r="AQ118" s="1"/>
  <c r="AS114"/>
  <c r="AT114" s="1"/>
  <c r="AZ92"/>
  <c r="AW91"/>
  <c r="AZ85"/>
  <c r="AZ82"/>
  <c r="AW81"/>
  <c r="AZ79"/>
  <c r="AW78"/>
  <c r="AZ55"/>
  <c r="AW47"/>
  <c r="AZ39"/>
  <c r="AW38"/>
  <c r="AU26"/>
  <c r="S26"/>
  <c r="AU25"/>
  <c r="S25"/>
  <c r="AR38"/>
  <c r="O37"/>
  <c r="AZ11"/>
  <c r="AW10"/>
  <c r="AZ28"/>
  <c r="AW27"/>
  <c r="BB8"/>
  <c r="BC8" s="1"/>
  <c r="BA8"/>
  <c r="AU79"/>
  <c r="S79"/>
  <c r="Q78"/>
  <c r="AQ87"/>
  <c r="AQ77" s="1"/>
  <c r="AQ76"/>
  <c r="AX110"/>
  <c r="U110"/>
  <c r="AX104"/>
  <c r="U104"/>
  <c r="AX103"/>
  <c r="U103"/>
  <c r="AX101"/>
  <c r="U101"/>
  <c r="AU95"/>
  <c r="S95"/>
  <c r="AU83"/>
  <c r="S83"/>
  <c r="U15"/>
  <c r="AX15"/>
  <c r="AU86"/>
  <c r="S86"/>
  <c r="AU85"/>
  <c r="S85"/>
  <c r="Q84"/>
  <c r="AU84" s="1"/>
  <c r="AU24"/>
  <c r="S24"/>
  <c r="AU22"/>
  <c r="S22"/>
  <c r="AU21"/>
  <c r="S21"/>
  <c r="AU18"/>
  <c r="S18"/>
  <c r="AU14"/>
  <c r="S14"/>
  <c r="AU80"/>
  <c r="S80"/>
  <c r="AU61"/>
  <c r="S61"/>
  <c r="AL87"/>
  <c r="K77"/>
  <c r="AU131"/>
  <c r="AX111"/>
  <c r="U111"/>
  <c r="AX109"/>
  <c r="U109"/>
  <c r="AX107"/>
  <c r="U107"/>
  <c r="AX106"/>
  <c r="U106"/>
  <c r="AU100"/>
  <c r="S100"/>
  <c r="AU99"/>
  <c r="S99"/>
  <c r="AU98"/>
  <c r="S98"/>
  <c r="AU93"/>
  <c r="S93"/>
  <c r="AR78"/>
  <c r="AT84"/>
  <c r="AT37"/>
  <c r="DU17" i="5"/>
  <c r="BA17"/>
  <c r="DV17"/>
  <c r="AK9"/>
  <c r="BY64"/>
  <c r="BS64"/>
  <c r="BS65"/>
  <c r="CL70"/>
  <c r="CR71"/>
  <c r="CM42"/>
  <c r="AI42"/>
  <c r="CM39"/>
  <c r="AI39"/>
  <c r="CN34"/>
  <c r="AJ34"/>
  <c r="S63"/>
  <c r="BU8"/>
  <c r="Y8"/>
  <c r="CN11"/>
  <c r="AJ11"/>
  <c r="CR9"/>
  <c r="CX10"/>
  <c r="CG20"/>
  <c r="AE20"/>
  <c r="CM25"/>
  <c r="AI25"/>
  <c r="CM57"/>
  <c r="AI57"/>
  <c r="CM23"/>
  <c r="AI23"/>
  <c r="CM16"/>
  <c r="AI16"/>
  <c r="CN39"/>
  <c r="AJ39"/>
  <c r="CM29"/>
  <c r="AI29"/>
  <c r="CN69"/>
  <c r="AJ69"/>
  <c r="AJ67" s="1"/>
  <c r="CN33"/>
  <c r="AJ33"/>
  <c r="CM31"/>
  <c r="AI31"/>
  <c r="CN29"/>
  <c r="AJ29"/>
  <c r="CT28"/>
  <c r="AN28"/>
  <c r="CM24"/>
  <c r="AI24"/>
  <c r="CN19"/>
  <c r="AJ19"/>
  <c r="CM55"/>
  <c r="AI55"/>
  <c r="CQ46"/>
  <c r="CW54"/>
  <c r="CN42"/>
  <c r="AJ42"/>
  <c r="CM41"/>
  <c r="AI41"/>
  <c r="CM35"/>
  <c r="AI35"/>
  <c r="CM33"/>
  <c r="AI33"/>
  <c r="CN32"/>
  <c r="AJ32"/>
  <c r="CN31"/>
  <c r="AJ31"/>
  <c r="CM30"/>
  <c r="AI30"/>
  <c r="CG22"/>
  <c r="AE22"/>
  <c r="CG17"/>
  <c r="AE17"/>
  <c r="CG15"/>
  <c r="AE15"/>
  <c r="CN12"/>
  <c r="AJ12"/>
  <c r="CM28"/>
  <c r="AI28"/>
  <c r="CM111"/>
  <c r="AI111"/>
  <c r="CZ96"/>
  <c r="AR96"/>
  <c r="CZ90"/>
  <c r="AR90"/>
  <c r="CY88"/>
  <c r="AQ88"/>
  <c r="CM86"/>
  <c r="AI86"/>
  <c r="CZ88"/>
  <c r="AR88"/>
  <c r="CT87"/>
  <c r="AN87"/>
  <c r="CN85"/>
  <c r="AJ85"/>
  <c r="CN82"/>
  <c r="AJ82"/>
  <c r="CG67"/>
  <c r="CM27"/>
  <c r="AI27"/>
  <c r="AE26"/>
  <c r="CM26" s="1"/>
  <c r="CG18"/>
  <c r="AE18"/>
  <c r="CM72"/>
  <c r="AI72"/>
  <c r="CN60"/>
  <c r="AJ60"/>
  <c r="CN52"/>
  <c r="AJ52"/>
  <c r="CM44"/>
  <c r="AI44"/>
  <c r="CM43"/>
  <c r="AI43"/>
  <c r="CM83"/>
  <c r="AI83"/>
  <c r="BV76"/>
  <c r="T66"/>
  <c r="CH37"/>
  <c r="AB36"/>
  <c r="AJ38"/>
  <c r="CN38"/>
  <c r="AF37"/>
  <c r="CK38"/>
  <c r="CM38" s="1"/>
  <c r="CE37"/>
  <c r="CE36" s="1"/>
  <c r="CE76" s="1"/>
  <c r="CE66" s="1"/>
  <c r="CX54"/>
  <c r="CR46"/>
  <c r="CR36" s="1"/>
  <c r="AM69"/>
  <c r="CS69"/>
  <c r="CA36"/>
  <c r="CS89"/>
  <c r="AM89"/>
  <c r="CN86"/>
  <c r="AJ86"/>
  <c r="CN84"/>
  <c r="AJ84"/>
  <c r="CR75"/>
  <c r="CR73" s="1"/>
  <c r="CQ75"/>
  <c r="AM52"/>
  <c r="CS52"/>
  <c r="AF9"/>
  <c r="CN10"/>
  <c r="AJ10"/>
  <c r="CH9"/>
  <c r="CH65" s="1"/>
  <c r="AB8"/>
  <c r="CG10"/>
  <c r="AE10"/>
  <c r="AA9"/>
  <c r="CN75"/>
  <c r="AJ75"/>
  <c r="AJ22"/>
  <c r="CN22"/>
  <c r="AJ17"/>
  <c r="CN17"/>
  <c r="CM34"/>
  <c r="AI34"/>
  <c r="AN13"/>
  <c r="CT13"/>
  <c r="AN41"/>
  <c r="CT41"/>
  <c r="DD38"/>
  <c r="CX37"/>
  <c r="AR24"/>
  <c r="CZ24"/>
  <c r="CN23"/>
  <c r="AJ23"/>
  <c r="CG21"/>
  <c r="AE21"/>
  <c r="CN18"/>
  <c r="AJ18"/>
  <c r="AE14"/>
  <c r="CG14"/>
  <c r="CM13"/>
  <c r="AI13"/>
  <c r="CM84"/>
  <c r="AI84"/>
  <c r="CN81"/>
  <c r="AJ81"/>
  <c r="AF80"/>
  <c r="Q64"/>
  <c r="Q65"/>
  <c r="AP64"/>
  <c r="AP65"/>
  <c r="CM71"/>
  <c r="AI71"/>
  <c r="AE70"/>
  <c r="CM70" s="1"/>
  <c r="CM60"/>
  <c r="AI60"/>
  <c r="AJ21"/>
  <c r="CN21"/>
  <c r="AJ16"/>
  <c r="CN16"/>
  <c r="AE37"/>
  <c r="AI38"/>
  <c r="AN35"/>
  <c r="CT35"/>
  <c r="CW27"/>
  <c r="CQ26"/>
  <c r="CX27"/>
  <c r="CR26"/>
  <c r="CW10"/>
  <c r="CQ9"/>
  <c r="DA7"/>
  <c r="DC7" s="1"/>
  <c r="CY7"/>
  <c r="DB7"/>
  <c r="DD7" s="1"/>
  <c r="CZ7"/>
  <c r="CT30"/>
  <c r="AN30"/>
  <c r="CZ25"/>
  <c r="AR25"/>
  <c r="AN20"/>
  <c r="CT20"/>
  <c r="S76"/>
  <c r="E14"/>
  <c r="CF65"/>
  <c r="AF67"/>
  <c r="CG38"/>
  <c r="BO76"/>
  <c r="O66"/>
  <c r="CN111"/>
  <c r="AJ111"/>
  <c r="CS96"/>
  <c r="AM96"/>
  <c r="CS95"/>
  <c r="AM95"/>
  <c r="CS94"/>
  <c r="AM94"/>
  <c r="CS93"/>
  <c r="AM93"/>
  <c r="CS92"/>
  <c r="AM92"/>
  <c r="CZ94"/>
  <c r="AR94"/>
  <c r="CZ92"/>
  <c r="AR92"/>
  <c r="CT89"/>
  <c r="AN89"/>
  <c r="CS91"/>
  <c r="AM91"/>
  <c r="CG87"/>
  <c r="AE87"/>
  <c r="CM75"/>
  <c r="AI75"/>
  <c r="AG9"/>
  <c r="AO10"/>
  <c r="AO9" s="1"/>
  <c r="CL8"/>
  <c r="CL63" s="1"/>
  <c r="CL64" s="1"/>
  <c r="CG19"/>
  <c r="AE19"/>
  <c r="CM68"/>
  <c r="AI68"/>
  <c r="AE67"/>
  <c r="AE73"/>
  <c r="CM74"/>
  <c r="AI74"/>
  <c r="CN54"/>
  <c r="AJ54"/>
  <c r="AF46"/>
  <c r="CN46" s="1"/>
  <c r="T64"/>
  <c r="T65"/>
  <c r="AM32"/>
  <c r="CS32"/>
  <c r="CT44"/>
  <c r="AN44"/>
  <c r="BW98"/>
  <c r="BU98"/>
  <c r="CM85"/>
  <c r="AI85"/>
  <c r="CM82"/>
  <c r="AI82"/>
  <c r="CK73"/>
  <c r="CQ74"/>
  <c r="CN83"/>
  <c r="AJ83"/>
  <c r="CM81"/>
  <c r="AI81"/>
  <c r="AE80"/>
  <c r="AN72"/>
  <c r="CT72"/>
  <c r="CR81"/>
  <c r="CL80"/>
  <c r="CX74"/>
  <c r="CW71"/>
  <c r="CQ70"/>
  <c r="CW68"/>
  <c r="CQ67"/>
  <c r="AR91"/>
  <c r="CZ91"/>
  <c r="CQ81"/>
  <c r="CK80"/>
  <c r="AN57"/>
  <c r="CT57"/>
  <c r="DV19"/>
  <c r="DU19"/>
  <c r="BA19"/>
  <c r="CN74"/>
  <c r="AJ74"/>
  <c r="AF73"/>
  <c r="CN73" s="1"/>
  <c r="X63"/>
  <c r="CB8"/>
  <c r="CA9"/>
  <c r="CA65" s="1"/>
  <c r="W8"/>
  <c r="CG12"/>
  <c r="AE12"/>
  <c r="AI11"/>
  <c r="CM11"/>
  <c r="U63"/>
  <c r="U76"/>
  <c r="U66" s="1"/>
  <c r="CN55"/>
  <c r="AJ55"/>
  <c r="AN68"/>
  <c r="CT68"/>
  <c r="O64"/>
  <c r="O65"/>
  <c r="BX98"/>
  <c r="BV98"/>
  <c r="CB36"/>
  <c r="X76"/>
  <c r="CT43"/>
  <c r="AN43"/>
  <c r="F63"/>
  <c r="BB8"/>
  <c r="F76"/>
  <c r="CN27"/>
  <c r="AJ27"/>
  <c r="AF26"/>
  <c r="CN26" s="1"/>
  <c r="AE46"/>
  <c r="CM46" s="1"/>
  <c r="CM54"/>
  <c r="AI54"/>
  <c r="CG37"/>
  <c r="AA36"/>
  <c r="CK8"/>
  <c r="AI90"/>
  <c r="CM90"/>
  <c r="AR95"/>
  <c r="CZ95"/>
  <c r="AR93"/>
  <c r="CZ93"/>
  <c r="AJ71"/>
  <c r="AF70"/>
  <c r="CN71"/>
  <c r="CA37"/>
  <c r="CH80"/>
  <c r="CH70"/>
  <c r="AQ76" i="10" l="1"/>
  <c r="DU28" i="5"/>
  <c r="AT87" i="9"/>
  <c r="AT77" s="1"/>
  <c r="AT87" i="10"/>
  <c r="AT77" s="1"/>
  <c r="AW37" i="8"/>
  <c r="AW37" i="9"/>
  <c r="E26" i="5"/>
  <c r="BA26" s="1"/>
  <c r="CE63"/>
  <c r="CE64" s="1"/>
  <c r="DV28"/>
  <c r="CX87" i="11"/>
  <c r="CX77" s="1"/>
  <c r="AM87"/>
  <c r="CY87" s="1"/>
  <c r="CN70" i="5"/>
  <c r="AR94" i="11"/>
  <c r="AN91"/>
  <c r="CZ91" s="1"/>
  <c r="CZ94"/>
  <c r="AW37" i="10"/>
  <c r="AT87" i="8"/>
  <c r="AT77" s="1"/>
  <c r="DD94" i="11"/>
  <c r="CX91"/>
  <c r="CY94"/>
  <c r="AM91"/>
  <c r="CY91" s="1"/>
  <c r="AQ94"/>
  <c r="DC94"/>
  <c r="CW91"/>
  <c r="CJ114"/>
  <c r="CI114"/>
  <c r="CF114"/>
  <c r="CD118"/>
  <c r="CF118" s="1"/>
  <c r="L114" i="8"/>
  <c r="R118" i="11"/>
  <c r="T114"/>
  <c r="BV114" s="1"/>
  <c r="CW87"/>
  <c r="CW77" s="1"/>
  <c r="CL12"/>
  <c r="CF75"/>
  <c r="CF76"/>
  <c r="CC118"/>
  <c r="CE118" s="1"/>
  <c r="CE114"/>
  <c r="CK12"/>
  <c r="CE76"/>
  <c r="CE75"/>
  <c r="S114"/>
  <c r="BU114" s="1"/>
  <c r="Q118"/>
  <c r="DI86"/>
  <c r="DI84" s="1"/>
  <c r="DL55"/>
  <c r="AV47"/>
  <c r="DL47" s="1"/>
  <c r="DF86"/>
  <c r="AV86"/>
  <c r="AV84" s="1"/>
  <c r="DL84" s="1"/>
  <c r="DK82"/>
  <c r="AU81"/>
  <c r="DK81" s="1"/>
  <c r="DE86"/>
  <c r="AU86"/>
  <c r="AU84" s="1"/>
  <c r="DK84" s="1"/>
  <c r="DK85"/>
  <c r="DE10"/>
  <c r="AQ9"/>
  <c r="DL28"/>
  <c r="AV27"/>
  <c r="DL27" s="1"/>
  <c r="DE38"/>
  <c r="AQ37"/>
  <c r="DE37" s="1"/>
  <c r="DJ9"/>
  <c r="DJ74" s="1"/>
  <c r="DK79"/>
  <c r="AU78"/>
  <c r="DL39"/>
  <c r="AV38"/>
  <c r="DC9"/>
  <c r="DC74" s="1"/>
  <c r="DF78"/>
  <c r="DL11"/>
  <c r="AV10"/>
  <c r="AM74"/>
  <c r="CY9"/>
  <c r="DK92"/>
  <c r="DK55"/>
  <c r="AU47"/>
  <c r="DK47" s="1"/>
  <c r="DC84"/>
  <c r="AN87"/>
  <c r="AR84"/>
  <c r="DF84" s="1"/>
  <c r="DL92"/>
  <c r="DL85"/>
  <c r="AN74"/>
  <c r="CZ9"/>
  <c r="DK11"/>
  <c r="AU10"/>
  <c r="DK39"/>
  <c r="AU38"/>
  <c r="DD9"/>
  <c r="DD74" s="1"/>
  <c r="DE78"/>
  <c r="AJ75"/>
  <c r="AJ76"/>
  <c r="AI75"/>
  <c r="AI76"/>
  <c r="DK28"/>
  <c r="AU27"/>
  <c r="DK27" s="1"/>
  <c r="DF38"/>
  <c r="AR37"/>
  <c r="DF37" s="1"/>
  <c r="DI9"/>
  <c r="DI74" s="1"/>
  <c r="DL79"/>
  <c r="AV78"/>
  <c r="DJ86"/>
  <c r="DF10"/>
  <c r="AR9"/>
  <c r="DF101"/>
  <c r="AV101"/>
  <c r="DL101" s="1"/>
  <c r="DL82"/>
  <c r="AV81"/>
  <c r="DL81" s="1"/>
  <c r="AI77"/>
  <c r="AJ77"/>
  <c r="AU38" i="10"/>
  <c r="Q37"/>
  <c r="M75"/>
  <c r="M76"/>
  <c r="AX94"/>
  <c r="U94"/>
  <c r="BC39"/>
  <c r="AZ38"/>
  <c r="BC55"/>
  <c r="AZ47"/>
  <c r="BC79"/>
  <c r="AZ78"/>
  <c r="BC82"/>
  <c r="AZ81"/>
  <c r="BC85"/>
  <c r="O74"/>
  <c r="AR9"/>
  <c r="AW9"/>
  <c r="AX55"/>
  <c r="U55"/>
  <c r="S47"/>
  <c r="AX47" s="1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28"/>
  <c r="AX30"/>
  <c r="U30"/>
  <c r="AX32"/>
  <c r="U32"/>
  <c r="AX34"/>
  <c r="U34"/>
  <c r="AX36"/>
  <c r="U36"/>
  <c r="BC92"/>
  <c r="AZ91"/>
  <c r="AX92"/>
  <c r="U92"/>
  <c r="S91"/>
  <c r="AX91" s="1"/>
  <c r="AX40"/>
  <c r="U40"/>
  <c r="AX53"/>
  <c r="U53"/>
  <c r="AX58"/>
  <c r="U58"/>
  <c r="AX61"/>
  <c r="U61"/>
  <c r="AX13"/>
  <c r="U13"/>
  <c r="AX15"/>
  <c r="U15"/>
  <c r="AX17"/>
  <c r="U17"/>
  <c r="AX19"/>
  <c r="U19"/>
  <c r="AX21"/>
  <c r="U21"/>
  <c r="AX23"/>
  <c r="U23"/>
  <c r="AX25"/>
  <c r="U25"/>
  <c r="T114"/>
  <c r="AV114"/>
  <c r="AW114" s="1"/>
  <c r="AX42"/>
  <c r="U42"/>
  <c r="AX43"/>
  <c r="U43"/>
  <c r="AX44"/>
  <c r="U44"/>
  <c r="AX45"/>
  <c r="U45"/>
  <c r="AO87"/>
  <c r="M77"/>
  <c r="AU10"/>
  <c r="Q9"/>
  <c r="AX28"/>
  <c r="U28"/>
  <c r="S27"/>
  <c r="AX27" s="1"/>
  <c r="AX83"/>
  <c r="U83"/>
  <c r="AZ86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X12"/>
  <c r="U12"/>
  <c r="AX14"/>
  <c r="U14"/>
  <c r="AX16"/>
  <c r="U16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79"/>
  <c r="U79"/>
  <c r="S78"/>
  <c r="AX39"/>
  <c r="U39"/>
  <c r="S38"/>
  <c r="BC28"/>
  <c r="AZ27"/>
  <c r="BE8"/>
  <c r="BF8" s="1"/>
  <c r="BD8"/>
  <c r="BC11"/>
  <c r="AZ10"/>
  <c r="AR37"/>
  <c r="O87"/>
  <c r="AX56"/>
  <c r="U56"/>
  <c r="AX11"/>
  <c r="U11"/>
  <c r="S10"/>
  <c r="AX80"/>
  <c r="U80"/>
  <c r="AX85"/>
  <c r="U85"/>
  <c r="S84"/>
  <c r="AX84" s="1"/>
  <c r="AX86"/>
  <c r="U86"/>
  <c r="AU78"/>
  <c r="AX82"/>
  <c r="U82"/>
  <c r="S81"/>
  <c r="AX81" s="1"/>
  <c r="AT74"/>
  <c r="AX39" i="9"/>
  <c r="U39"/>
  <c r="S38"/>
  <c r="AX80"/>
  <c r="U80"/>
  <c r="AX56"/>
  <c r="U56"/>
  <c r="AX12"/>
  <c r="U12"/>
  <c r="AX14"/>
  <c r="U14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92"/>
  <c r="U92"/>
  <c r="S91"/>
  <c r="AX91" s="1"/>
  <c r="O74"/>
  <c r="AR9"/>
  <c r="AW9"/>
  <c r="AW74" s="1"/>
  <c r="AW75" s="1"/>
  <c r="BC39"/>
  <c r="AZ38"/>
  <c r="BC55"/>
  <c r="AZ47"/>
  <c r="BC79"/>
  <c r="AZ78"/>
  <c r="BC82"/>
  <c r="AZ81"/>
  <c r="BC85"/>
  <c r="BC92"/>
  <c r="AZ91"/>
  <c r="AX55"/>
  <c r="U55"/>
  <c r="S47"/>
  <c r="AX47" s="1"/>
  <c r="AU10"/>
  <c r="Q9"/>
  <c r="AX28"/>
  <c r="U28"/>
  <c r="S27"/>
  <c r="AX27" s="1"/>
  <c r="AX83"/>
  <c r="U83"/>
  <c r="AZ86"/>
  <c r="AZ84" s="1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U78"/>
  <c r="AX13"/>
  <c r="U13"/>
  <c r="AX17"/>
  <c r="U17"/>
  <c r="AX19"/>
  <c r="U19"/>
  <c r="AX21"/>
  <c r="U21"/>
  <c r="AX23"/>
  <c r="U23"/>
  <c r="AX25"/>
  <c r="U25"/>
  <c r="AU38"/>
  <c r="Q37"/>
  <c r="AX82"/>
  <c r="U82"/>
  <c r="S81"/>
  <c r="AX81" s="1"/>
  <c r="AO87"/>
  <c r="M77"/>
  <c r="BC28"/>
  <c r="AZ27"/>
  <c r="AX85"/>
  <c r="U85"/>
  <c r="S84"/>
  <c r="AX84" s="1"/>
  <c r="AX86"/>
  <c r="U86"/>
  <c r="BE8"/>
  <c r="BF8" s="1"/>
  <c r="BD8"/>
  <c r="BC11"/>
  <c r="AZ10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31"/>
  <c r="AR37"/>
  <c r="O87"/>
  <c r="AX30"/>
  <c r="U30"/>
  <c r="AX32"/>
  <c r="U32"/>
  <c r="AX34"/>
  <c r="U34"/>
  <c r="AX36"/>
  <c r="U36"/>
  <c r="T114"/>
  <c r="AS118"/>
  <c r="AT118" s="1"/>
  <c r="AV114"/>
  <c r="AW114" s="1"/>
  <c r="AX42"/>
  <c r="U42"/>
  <c r="AX43"/>
  <c r="U43"/>
  <c r="AX44"/>
  <c r="U44"/>
  <c r="AX45"/>
  <c r="U45"/>
  <c r="M75"/>
  <c r="M76"/>
  <c r="BA15"/>
  <c r="W15"/>
  <c r="BA16"/>
  <c r="W16"/>
  <c r="AX94"/>
  <c r="U94"/>
  <c r="AX11"/>
  <c r="U11"/>
  <c r="S10"/>
  <c r="AX40"/>
  <c r="U40"/>
  <c r="AX53"/>
  <c r="U53"/>
  <c r="AX58"/>
  <c r="U58"/>
  <c r="AX61"/>
  <c r="U61"/>
  <c r="AX79"/>
  <c r="U79"/>
  <c r="S78"/>
  <c r="AT74"/>
  <c r="AX14" i="8"/>
  <c r="U14"/>
  <c r="AX18"/>
  <c r="U18"/>
  <c r="AX21"/>
  <c r="U21"/>
  <c r="AX22"/>
  <c r="U22"/>
  <c r="AX24"/>
  <c r="U24"/>
  <c r="BA15"/>
  <c r="W15"/>
  <c r="AX79"/>
  <c r="U79"/>
  <c r="S78"/>
  <c r="AW9"/>
  <c r="AR37"/>
  <c r="O87"/>
  <c r="AX25"/>
  <c r="U25"/>
  <c r="AX26"/>
  <c r="U26"/>
  <c r="BC39"/>
  <c r="AZ38"/>
  <c r="BC55"/>
  <c r="AZ47"/>
  <c r="BC79"/>
  <c r="AZ78"/>
  <c r="BC82"/>
  <c r="AZ81"/>
  <c r="BC85"/>
  <c r="BC92"/>
  <c r="AZ91"/>
  <c r="AX92"/>
  <c r="U92"/>
  <c r="S91"/>
  <c r="AX91" s="1"/>
  <c r="O74"/>
  <c r="AR9"/>
  <c r="AX97"/>
  <c r="U97"/>
  <c r="AX82"/>
  <c r="U82"/>
  <c r="S81"/>
  <c r="AX81" s="1"/>
  <c r="AX55"/>
  <c r="U55"/>
  <c r="S47"/>
  <c r="AX47" s="1"/>
  <c r="AU38"/>
  <c r="Q37"/>
  <c r="AX28"/>
  <c r="U28"/>
  <c r="S27"/>
  <c r="AX27" s="1"/>
  <c r="AX56"/>
  <c r="U56"/>
  <c r="AX12"/>
  <c r="U12"/>
  <c r="AX13"/>
  <c r="U13"/>
  <c r="AX17"/>
  <c r="U17"/>
  <c r="AX19"/>
  <c r="U19"/>
  <c r="AX20"/>
  <c r="U20"/>
  <c r="AX23"/>
  <c r="U23"/>
  <c r="AU10"/>
  <c r="Q9"/>
  <c r="AX93"/>
  <c r="U93"/>
  <c r="AX98"/>
  <c r="U98"/>
  <c r="AX99"/>
  <c r="U99"/>
  <c r="AX100"/>
  <c r="U100"/>
  <c r="BA106"/>
  <c r="W106"/>
  <c r="BA107"/>
  <c r="W107"/>
  <c r="BA109"/>
  <c r="W109"/>
  <c r="BA111"/>
  <c r="W111"/>
  <c r="AX131"/>
  <c r="AX61"/>
  <c r="U61"/>
  <c r="AX80"/>
  <c r="U80"/>
  <c r="AX85"/>
  <c r="U85"/>
  <c r="S84"/>
  <c r="AX84" s="1"/>
  <c r="AX86"/>
  <c r="U86"/>
  <c r="AX83"/>
  <c r="U83"/>
  <c r="AX95"/>
  <c r="U95"/>
  <c r="BA101"/>
  <c r="W101"/>
  <c r="BA103"/>
  <c r="W103"/>
  <c r="BA104"/>
  <c r="W104"/>
  <c r="BA110"/>
  <c r="W110"/>
  <c r="AU78"/>
  <c r="BE8"/>
  <c r="BF8" s="1"/>
  <c r="BD8"/>
  <c r="BC28"/>
  <c r="AZ27"/>
  <c r="BC11"/>
  <c r="AZ10"/>
  <c r="AS118"/>
  <c r="AT118" s="1"/>
  <c r="AV114"/>
  <c r="AW114" s="1"/>
  <c r="AX94"/>
  <c r="U94"/>
  <c r="AX42"/>
  <c r="U42"/>
  <c r="AX43"/>
  <c r="U43"/>
  <c r="AX44"/>
  <c r="U44"/>
  <c r="AX45"/>
  <c r="U45"/>
  <c r="AX29"/>
  <c r="U29"/>
  <c r="AX30"/>
  <c r="U30"/>
  <c r="AX31"/>
  <c r="U31"/>
  <c r="AX32"/>
  <c r="U32"/>
  <c r="AX33"/>
  <c r="U33"/>
  <c r="AX34"/>
  <c r="U34"/>
  <c r="AX35"/>
  <c r="U35"/>
  <c r="AX36"/>
  <c r="U36"/>
  <c r="AO87"/>
  <c r="M77"/>
  <c r="AX40"/>
  <c r="U40"/>
  <c r="AX53"/>
  <c r="U53"/>
  <c r="AX58"/>
  <c r="U58"/>
  <c r="M75"/>
  <c r="M76"/>
  <c r="AX39"/>
  <c r="U39"/>
  <c r="S38"/>
  <c r="BA16"/>
  <c r="W16"/>
  <c r="AX11"/>
  <c r="U11"/>
  <c r="S10"/>
  <c r="AZ86"/>
  <c r="AZ84" s="1"/>
  <c r="AX96"/>
  <c r="U96"/>
  <c r="BA102"/>
  <c r="W102"/>
  <c r="BA105"/>
  <c r="W105"/>
  <c r="BA108"/>
  <c r="W108"/>
  <c r="BA112"/>
  <c r="W112"/>
  <c r="AT74"/>
  <c r="AJ70" i="5"/>
  <c r="CT71"/>
  <c r="AN71"/>
  <c r="DF93"/>
  <c r="AV93"/>
  <c r="DL93" s="1"/>
  <c r="DF95"/>
  <c r="AV95"/>
  <c r="DL95" s="1"/>
  <c r="CS90"/>
  <c r="AM90"/>
  <c r="CZ43"/>
  <c r="AR43"/>
  <c r="CB76"/>
  <c r="X66"/>
  <c r="CT67"/>
  <c r="AR68"/>
  <c r="CZ68"/>
  <c r="U64"/>
  <c r="U65"/>
  <c r="CS11"/>
  <c r="AM11"/>
  <c r="BW99"/>
  <c r="BY98"/>
  <c r="AQ32"/>
  <c r="CY32"/>
  <c r="CT54"/>
  <c r="AN54"/>
  <c r="AJ46"/>
  <c r="CT46" s="1"/>
  <c r="AI73"/>
  <c r="CS74"/>
  <c r="AM74"/>
  <c r="CS68"/>
  <c r="AM68"/>
  <c r="AI67"/>
  <c r="CM19"/>
  <c r="AI19"/>
  <c r="AO8"/>
  <c r="CS75"/>
  <c r="AM75"/>
  <c r="CN67"/>
  <c r="BA14"/>
  <c r="DU14"/>
  <c r="DF25"/>
  <c r="AV25"/>
  <c r="DL25" s="1"/>
  <c r="CZ30"/>
  <c r="AR30"/>
  <c r="CQ8"/>
  <c r="AI37"/>
  <c r="AM38"/>
  <c r="AN16"/>
  <c r="CT16"/>
  <c r="AN21"/>
  <c r="CT21"/>
  <c r="CS71"/>
  <c r="AM71"/>
  <c r="AI70"/>
  <c r="CS70" s="1"/>
  <c r="AI14"/>
  <c r="CM14"/>
  <c r="AV24"/>
  <c r="DL24" s="1"/>
  <c r="DF24"/>
  <c r="DJ38"/>
  <c r="DJ37" s="1"/>
  <c r="DD37"/>
  <c r="AR41"/>
  <c r="CZ41"/>
  <c r="AR13"/>
  <c r="CZ13"/>
  <c r="AN17"/>
  <c r="CT17"/>
  <c r="AN22"/>
  <c r="CT22"/>
  <c r="CG9"/>
  <c r="CG65" s="1"/>
  <c r="AA8"/>
  <c r="AA76" s="1"/>
  <c r="AJ9"/>
  <c r="CT10"/>
  <c r="AN10"/>
  <c r="CN9"/>
  <c r="CN65" s="1"/>
  <c r="AF8"/>
  <c r="AQ52"/>
  <c r="CY52"/>
  <c r="AQ69"/>
  <c r="CY69"/>
  <c r="DD54"/>
  <c r="CX46"/>
  <c r="CX36" s="1"/>
  <c r="CQ38"/>
  <c r="CK37"/>
  <c r="CK36" s="1"/>
  <c r="CK76" s="1"/>
  <c r="CK66" s="1"/>
  <c r="CH36"/>
  <c r="AB76"/>
  <c r="CS83"/>
  <c r="AM83"/>
  <c r="CS43"/>
  <c r="AM43"/>
  <c r="CS44"/>
  <c r="AM44"/>
  <c r="CT52"/>
  <c r="AN52"/>
  <c r="CT60"/>
  <c r="AN60"/>
  <c r="CS72"/>
  <c r="AM72"/>
  <c r="CM18"/>
  <c r="AI18"/>
  <c r="CR8"/>
  <c r="CR63" s="1"/>
  <c r="CR64" s="1"/>
  <c r="S64"/>
  <c r="S65"/>
  <c r="CM80"/>
  <c r="CM73"/>
  <c r="CN80"/>
  <c r="CL76"/>
  <c r="CL66" s="1"/>
  <c r="E10"/>
  <c r="CG36"/>
  <c r="AI46"/>
  <c r="CS46" s="1"/>
  <c r="CS54"/>
  <c r="AM54"/>
  <c r="CT27"/>
  <c r="AN27"/>
  <c r="AJ26"/>
  <c r="CT26" s="1"/>
  <c r="BB76"/>
  <c r="F66"/>
  <c r="F64"/>
  <c r="F65"/>
  <c r="BX99"/>
  <c r="BZ98"/>
  <c r="CT55"/>
  <c r="AN55"/>
  <c r="CM12"/>
  <c r="AI12"/>
  <c r="W63"/>
  <c r="CA8"/>
  <c r="X64"/>
  <c r="X65"/>
  <c r="CT74"/>
  <c r="AN74"/>
  <c r="AJ73"/>
  <c r="CT73" s="1"/>
  <c r="AR57"/>
  <c r="CZ57"/>
  <c r="CW81"/>
  <c r="CQ80"/>
  <c r="DF91"/>
  <c r="AV91"/>
  <c r="DL91" s="1"/>
  <c r="DC68"/>
  <c r="CW67"/>
  <c r="DC71"/>
  <c r="CW70"/>
  <c r="DD74"/>
  <c r="CX81"/>
  <c r="CR80"/>
  <c r="AR72"/>
  <c r="CZ72"/>
  <c r="AM81"/>
  <c r="CS81"/>
  <c r="AI80"/>
  <c r="CT83"/>
  <c r="AN83"/>
  <c r="CQ73"/>
  <c r="CW74"/>
  <c r="CS82"/>
  <c r="AM82"/>
  <c r="CS85"/>
  <c r="AM85"/>
  <c r="CZ44"/>
  <c r="AR44"/>
  <c r="CM67"/>
  <c r="AG8"/>
  <c r="CM87"/>
  <c r="AI87"/>
  <c r="CY91"/>
  <c r="AQ91"/>
  <c r="CZ89"/>
  <c r="AR89"/>
  <c r="DF92"/>
  <c r="AV92"/>
  <c r="DL92" s="1"/>
  <c r="DF94"/>
  <c r="AV94"/>
  <c r="DL94" s="1"/>
  <c r="CY92"/>
  <c r="AQ92"/>
  <c r="CY93"/>
  <c r="AQ93"/>
  <c r="CY94"/>
  <c r="AQ94"/>
  <c r="CY95"/>
  <c r="AQ95"/>
  <c r="CY96"/>
  <c r="AQ96"/>
  <c r="CT111"/>
  <c r="AN111"/>
  <c r="BU76"/>
  <c r="S66"/>
  <c r="AR20"/>
  <c r="CZ20"/>
  <c r="DH7"/>
  <c r="DJ7" s="1"/>
  <c r="DF7"/>
  <c r="DG7"/>
  <c r="DI7" s="1"/>
  <c r="DE7"/>
  <c r="DC10"/>
  <c r="CW9"/>
  <c r="DD27"/>
  <c r="CX26"/>
  <c r="DC27"/>
  <c r="CW26"/>
  <c r="AR35"/>
  <c r="CZ35"/>
  <c r="AE36"/>
  <c r="CS60"/>
  <c r="AM60"/>
  <c r="CT81"/>
  <c r="AJ80"/>
  <c r="AN81"/>
  <c r="CS84"/>
  <c r="AM84"/>
  <c r="CS13"/>
  <c r="AM13"/>
  <c r="CT18"/>
  <c r="AN18"/>
  <c r="CM21"/>
  <c r="AI21"/>
  <c r="CT23"/>
  <c r="AN23"/>
  <c r="CS34"/>
  <c r="AM34"/>
  <c r="CT75"/>
  <c r="AN75"/>
  <c r="CM10"/>
  <c r="AI10"/>
  <c r="AE9"/>
  <c r="AB63"/>
  <c r="CH8"/>
  <c r="CW75"/>
  <c r="CX75"/>
  <c r="CT84"/>
  <c r="AN84"/>
  <c r="CT86"/>
  <c r="AN86"/>
  <c r="CY89"/>
  <c r="AQ89"/>
  <c r="CN37"/>
  <c r="AF36"/>
  <c r="AN38"/>
  <c r="CT38"/>
  <c r="AJ37"/>
  <c r="CS27"/>
  <c r="AM27"/>
  <c r="AI26"/>
  <c r="CS26" s="1"/>
  <c r="CT82"/>
  <c r="AN82"/>
  <c r="CT85"/>
  <c r="AN85"/>
  <c r="CZ87"/>
  <c r="AR87"/>
  <c r="DF88"/>
  <c r="AV88"/>
  <c r="DL88" s="1"/>
  <c r="CS86"/>
  <c r="AM86"/>
  <c r="DE88"/>
  <c r="AU88"/>
  <c r="DK88" s="1"/>
  <c r="DF90"/>
  <c r="AV90"/>
  <c r="DL90" s="1"/>
  <c r="DF96"/>
  <c r="AV96"/>
  <c r="DL96" s="1"/>
  <c r="CS111"/>
  <c r="AM111"/>
  <c r="CS28"/>
  <c r="AM28"/>
  <c r="CT12"/>
  <c r="AN12"/>
  <c r="CM15"/>
  <c r="AI15"/>
  <c r="CM17"/>
  <c r="AI17"/>
  <c r="CM22"/>
  <c r="AI22"/>
  <c r="CS30"/>
  <c r="AM30"/>
  <c r="CT31"/>
  <c r="AN31"/>
  <c r="CT32"/>
  <c r="AN32"/>
  <c r="CS33"/>
  <c r="AM33"/>
  <c r="CS35"/>
  <c r="AM35"/>
  <c r="CS41"/>
  <c r="AM41"/>
  <c r="CT42"/>
  <c r="AN42"/>
  <c r="CW46"/>
  <c r="DC54"/>
  <c r="CS55"/>
  <c r="AM55"/>
  <c r="CT19"/>
  <c r="AN19"/>
  <c r="CS24"/>
  <c r="AM24"/>
  <c r="CZ28"/>
  <c r="AR28"/>
  <c r="CT29"/>
  <c r="AN29"/>
  <c r="CS31"/>
  <c r="AM31"/>
  <c r="CT33"/>
  <c r="AN33"/>
  <c r="CT69"/>
  <c r="AN69"/>
  <c r="AN67" s="1"/>
  <c r="CS29"/>
  <c r="AM29"/>
  <c r="CT39"/>
  <c r="AN39"/>
  <c r="CS16"/>
  <c r="AM16"/>
  <c r="CS23"/>
  <c r="AM23"/>
  <c r="CS57"/>
  <c r="AM57"/>
  <c r="CS25"/>
  <c r="AM25"/>
  <c r="CM20"/>
  <c r="AI20"/>
  <c r="CX9"/>
  <c r="DD10"/>
  <c r="CT11"/>
  <c r="AN11"/>
  <c r="Y63"/>
  <c r="Y76"/>
  <c r="Y66" s="1"/>
  <c r="CT34"/>
  <c r="AN34"/>
  <c r="CS39"/>
  <c r="AM39"/>
  <c r="CS42"/>
  <c r="AM42"/>
  <c r="CR70"/>
  <c r="CX71"/>
  <c r="DV26"/>
  <c r="AK8"/>
  <c r="CL65"/>
  <c r="W76"/>
  <c r="CK63" l="1"/>
  <c r="CK65" s="1"/>
  <c r="CM37"/>
  <c r="AW74" i="8"/>
  <c r="AW75" s="1"/>
  <c r="CE65" i="5"/>
  <c r="AW74" i="10"/>
  <c r="AW75" s="1"/>
  <c r="DU26" i="5"/>
  <c r="CR76"/>
  <c r="CR66" s="1"/>
  <c r="CS80"/>
  <c r="AM77" i="11"/>
  <c r="CR65" i="5"/>
  <c r="AW87" i="9"/>
  <c r="AW77" s="1"/>
  <c r="U114" i="10"/>
  <c r="V114" s="1"/>
  <c r="W114" s="1"/>
  <c r="BA114" s="1"/>
  <c r="AX114"/>
  <c r="AW87" i="8"/>
  <c r="AW77" s="1"/>
  <c r="U114" i="9"/>
  <c r="AX114"/>
  <c r="AV94" i="11"/>
  <c r="AR91"/>
  <c r="DF91" s="1"/>
  <c r="DF94"/>
  <c r="CT80" i="5"/>
  <c r="DJ94" i="11"/>
  <c r="DJ91" s="1"/>
  <c r="DD91"/>
  <c r="DE94"/>
  <c r="AU94"/>
  <c r="AQ91"/>
  <c r="DE91" s="1"/>
  <c r="DI94"/>
  <c r="DI91" s="1"/>
  <c r="DC91"/>
  <c r="DD87"/>
  <c r="DD77" s="1"/>
  <c r="AW87" i="10"/>
  <c r="AW77" s="1"/>
  <c r="DJ87" i="11"/>
  <c r="AW76" i="9"/>
  <c r="CP114" i="11"/>
  <c r="CO114"/>
  <c r="CQ12"/>
  <c r="CK76"/>
  <c r="CK75"/>
  <c r="M114" i="8"/>
  <c r="V114" i="11"/>
  <c r="U114"/>
  <c r="CJ118"/>
  <c r="CL118" s="1"/>
  <c r="CL114"/>
  <c r="DJ84"/>
  <c r="CR12"/>
  <c r="CL75"/>
  <c r="CL76"/>
  <c r="CK114"/>
  <c r="CI118"/>
  <c r="CK118" s="1"/>
  <c r="AR74"/>
  <c r="DF9"/>
  <c r="AN75"/>
  <c r="AN76"/>
  <c r="DL10"/>
  <c r="AV9"/>
  <c r="DL38"/>
  <c r="AV37"/>
  <c r="DL37" s="1"/>
  <c r="DK78"/>
  <c r="AQ74"/>
  <c r="DE9"/>
  <c r="DL86"/>
  <c r="AR87"/>
  <c r="DF87" s="1"/>
  <c r="DC87"/>
  <c r="DC77" s="1"/>
  <c r="DL78"/>
  <c r="DK38"/>
  <c r="AU37"/>
  <c r="DK37" s="1"/>
  <c r="DK10"/>
  <c r="AU9"/>
  <c r="CZ87"/>
  <c r="AN77"/>
  <c r="AM75"/>
  <c r="AM76"/>
  <c r="DK86"/>
  <c r="AQ87"/>
  <c r="DI87"/>
  <c r="DI77" s="1"/>
  <c r="BA86" i="10"/>
  <c r="W86"/>
  <c r="BA85"/>
  <c r="W85"/>
  <c r="U84"/>
  <c r="BA84" s="1"/>
  <c r="BA80"/>
  <c r="W80"/>
  <c r="AX10"/>
  <c r="S9"/>
  <c r="BA56"/>
  <c r="W56"/>
  <c r="AR87"/>
  <c r="O77"/>
  <c r="BF11"/>
  <c r="BF10" s="1"/>
  <c r="BC10"/>
  <c r="BH8"/>
  <c r="BG8"/>
  <c r="BF28"/>
  <c r="BF27" s="1"/>
  <c r="BC27"/>
  <c r="BA39"/>
  <c r="W39"/>
  <c r="U38"/>
  <c r="BA79"/>
  <c r="W79"/>
  <c r="U78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6"/>
  <c r="W16"/>
  <c r="BA14"/>
  <c r="W14"/>
  <c r="BA12"/>
  <c r="W12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A45"/>
  <c r="W45"/>
  <c r="BA44"/>
  <c r="W44"/>
  <c r="BA43"/>
  <c r="W43"/>
  <c r="BA42"/>
  <c r="W42"/>
  <c r="AY114"/>
  <c r="AZ114" s="1"/>
  <c r="BA25"/>
  <c r="W25"/>
  <c r="BA23"/>
  <c r="W23"/>
  <c r="BA21"/>
  <c r="W21"/>
  <c r="BA19"/>
  <c r="W19"/>
  <c r="BA17"/>
  <c r="W17"/>
  <c r="BA15"/>
  <c r="W15"/>
  <c r="BA13"/>
  <c r="W13"/>
  <c r="BA61"/>
  <c r="W61"/>
  <c r="BA58"/>
  <c r="W58"/>
  <c r="BA53"/>
  <c r="W53"/>
  <c r="BA40"/>
  <c r="W40"/>
  <c r="BF92"/>
  <c r="BF91" s="1"/>
  <c r="BC91"/>
  <c r="BA55"/>
  <c r="W55"/>
  <c r="U47"/>
  <c r="BA47" s="1"/>
  <c r="O75"/>
  <c r="O76"/>
  <c r="BA94"/>
  <c r="W94"/>
  <c r="AZ84"/>
  <c r="AZ37"/>
  <c r="AT75"/>
  <c r="AT76"/>
  <c r="BA82"/>
  <c r="W82"/>
  <c r="U81"/>
  <c r="BA81" s="1"/>
  <c r="BA11"/>
  <c r="W11"/>
  <c r="U10"/>
  <c r="AZ9"/>
  <c r="AX38"/>
  <c r="S37"/>
  <c r="AX78"/>
  <c r="BA28"/>
  <c r="W28"/>
  <c r="U27"/>
  <c r="BA27" s="1"/>
  <c r="Q74"/>
  <c r="AU9"/>
  <c r="BA92"/>
  <c r="W92"/>
  <c r="U91"/>
  <c r="BA91" s="1"/>
  <c r="BA36"/>
  <c r="W36"/>
  <c r="BA34"/>
  <c r="W34"/>
  <c r="BA32"/>
  <c r="W32"/>
  <c r="BA30"/>
  <c r="W30"/>
  <c r="BA128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85"/>
  <c r="BF82"/>
  <c r="BF81" s="1"/>
  <c r="BC81"/>
  <c r="BF79"/>
  <c r="BF78" s="1"/>
  <c r="BC78"/>
  <c r="BF55"/>
  <c r="BF47" s="1"/>
  <c r="BC47"/>
  <c r="BF39"/>
  <c r="BF38" s="1"/>
  <c r="BC38"/>
  <c r="AU37"/>
  <c r="Q87"/>
  <c r="AT75" i="9"/>
  <c r="AT76"/>
  <c r="AX78"/>
  <c r="BA11"/>
  <c r="W11"/>
  <c r="U10"/>
  <c r="BA94"/>
  <c r="W94"/>
  <c r="BD16"/>
  <c r="Y16"/>
  <c r="BG16" s="1"/>
  <c r="BD15"/>
  <c r="Y15"/>
  <c r="BG15" s="1"/>
  <c r="AZ9"/>
  <c r="BF28"/>
  <c r="BF27" s="1"/>
  <c r="BC27"/>
  <c r="BA28"/>
  <c r="W28"/>
  <c r="U27"/>
  <c r="BA27" s="1"/>
  <c r="Q74"/>
  <c r="AU9"/>
  <c r="BA55"/>
  <c r="W55"/>
  <c r="U47"/>
  <c r="BA47" s="1"/>
  <c r="O75"/>
  <c r="O76"/>
  <c r="BA92"/>
  <c r="W92"/>
  <c r="U91"/>
  <c r="BA91" s="1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4"/>
  <c r="W14"/>
  <c r="BA12"/>
  <c r="W12"/>
  <c r="BA56"/>
  <c r="W56"/>
  <c r="BA80"/>
  <c r="W80"/>
  <c r="BA39"/>
  <c r="W39"/>
  <c r="U38"/>
  <c r="AZ37"/>
  <c r="BA79"/>
  <c r="W79"/>
  <c r="U78"/>
  <c r="BA61"/>
  <c r="W61"/>
  <c r="BA58"/>
  <c r="W58"/>
  <c r="BA53"/>
  <c r="W53"/>
  <c r="BA40"/>
  <c r="W40"/>
  <c r="AX10"/>
  <c r="S9"/>
  <c r="BA45"/>
  <c r="W45"/>
  <c r="BA44"/>
  <c r="W44"/>
  <c r="BA43"/>
  <c r="W43"/>
  <c r="BA42"/>
  <c r="W42"/>
  <c r="AV118"/>
  <c r="AW118" s="1"/>
  <c r="AY114"/>
  <c r="AZ114" s="1"/>
  <c r="V114"/>
  <c r="W114" s="1"/>
  <c r="BA114" s="1"/>
  <c r="BA36"/>
  <c r="W36"/>
  <c r="BA34"/>
  <c r="W34"/>
  <c r="BA32"/>
  <c r="W32"/>
  <c r="BA30"/>
  <c r="W30"/>
  <c r="AR87"/>
  <c r="O77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11"/>
  <c r="BF10" s="1"/>
  <c r="BC10"/>
  <c r="BH8"/>
  <c r="BG8"/>
  <c r="BA86"/>
  <c r="W86"/>
  <c r="BA85"/>
  <c r="W85"/>
  <c r="U84"/>
  <c r="BA84" s="1"/>
  <c r="BA82"/>
  <c r="W82"/>
  <c r="U81"/>
  <c r="BA81" s="1"/>
  <c r="AU37"/>
  <c r="Q87"/>
  <c r="BA25"/>
  <c r="W25"/>
  <c r="BA23"/>
  <c r="W23"/>
  <c r="BA21"/>
  <c r="W21"/>
  <c r="BA19"/>
  <c r="W19"/>
  <c r="BA17"/>
  <c r="W17"/>
  <c r="BA13"/>
  <c r="W13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38"/>
  <c r="S37"/>
  <c r="AT75" i="8"/>
  <c r="AT76"/>
  <c r="BA11"/>
  <c r="W11"/>
  <c r="U10"/>
  <c r="Y16"/>
  <c r="BG16" s="1"/>
  <c r="BD16"/>
  <c r="AX38"/>
  <c r="S37"/>
  <c r="BA58"/>
  <c r="W58"/>
  <c r="BA53"/>
  <c r="W53"/>
  <c r="BA40"/>
  <c r="W40"/>
  <c r="AZ9"/>
  <c r="BF28"/>
  <c r="BF27" s="1"/>
  <c r="BC27"/>
  <c r="BH8"/>
  <c r="BG8"/>
  <c r="BA86"/>
  <c r="W86"/>
  <c r="BA85"/>
  <c r="W85"/>
  <c r="U84"/>
  <c r="BA84" s="1"/>
  <c r="Q74"/>
  <c r="AU9"/>
  <c r="BA28"/>
  <c r="W28"/>
  <c r="U27"/>
  <c r="BA27" s="1"/>
  <c r="AU37"/>
  <c r="Q87"/>
  <c r="BA82"/>
  <c r="W82"/>
  <c r="U81"/>
  <c r="BA81" s="1"/>
  <c r="BA97"/>
  <c r="W97"/>
  <c r="O75"/>
  <c r="O76"/>
  <c r="BA92"/>
  <c r="W92"/>
  <c r="U91"/>
  <c r="BA91" s="1"/>
  <c r="BA26"/>
  <c r="W26"/>
  <c r="BA25"/>
  <c r="W25"/>
  <c r="AR87"/>
  <c r="O77"/>
  <c r="BA79"/>
  <c r="W79"/>
  <c r="U78"/>
  <c r="Y15"/>
  <c r="BG15" s="1"/>
  <c r="BD15"/>
  <c r="BA24"/>
  <c r="W24"/>
  <c r="BA22"/>
  <c r="W22"/>
  <c r="BA21"/>
  <c r="W21"/>
  <c r="BA18"/>
  <c r="W18"/>
  <c r="BA14"/>
  <c r="W14"/>
  <c r="BD112"/>
  <c r="Y112"/>
  <c r="BG112" s="1"/>
  <c r="BD108"/>
  <c r="Y108"/>
  <c r="BG108" s="1"/>
  <c r="BD105"/>
  <c r="Y105"/>
  <c r="BG105" s="1"/>
  <c r="BD102"/>
  <c r="Y102"/>
  <c r="BG102" s="1"/>
  <c r="BA96"/>
  <c r="W96"/>
  <c r="BC86"/>
  <c r="BC84" s="1"/>
  <c r="AX10"/>
  <c r="S9"/>
  <c r="BA39"/>
  <c r="W39"/>
  <c r="U38"/>
  <c r="BA36"/>
  <c r="W36"/>
  <c r="BA35"/>
  <c r="W35"/>
  <c r="BA34"/>
  <c r="W34"/>
  <c r="BA33"/>
  <c r="W33"/>
  <c r="BA32"/>
  <c r="W32"/>
  <c r="BA31"/>
  <c r="W31"/>
  <c r="BA30"/>
  <c r="W30"/>
  <c r="BA29"/>
  <c r="W29"/>
  <c r="BA45"/>
  <c r="W45"/>
  <c r="BA44"/>
  <c r="W44"/>
  <c r="BA43"/>
  <c r="W43"/>
  <c r="BA42"/>
  <c r="W42"/>
  <c r="BA94"/>
  <c r="W94"/>
  <c r="AV118"/>
  <c r="AW118" s="1"/>
  <c r="AY114"/>
  <c r="AZ114" s="1"/>
  <c r="BF11"/>
  <c r="BF10" s="1"/>
  <c r="BC10"/>
  <c r="BD110"/>
  <c r="Y110"/>
  <c r="BG110" s="1"/>
  <c r="BD104"/>
  <c r="Y104"/>
  <c r="BG104" s="1"/>
  <c r="BD103"/>
  <c r="Y103"/>
  <c r="BG103" s="1"/>
  <c r="BD101"/>
  <c r="Y101"/>
  <c r="BG101" s="1"/>
  <c r="BA95"/>
  <c r="W95"/>
  <c r="BA83"/>
  <c r="W83"/>
  <c r="BA80"/>
  <c r="W80"/>
  <c r="BA61"/>
  <c r="W61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3"/>
  <c r="W93"/>
  <c r="BA23"/>
  <c r="W23"/>
  <c r="BA20"/>
  <c r="W20"/>
  <c r="BA19"/>
  <c r="W19"/>
  <c r="BA17"/>
  <c r="W17"/>
  <c r="BA13"/>
  <c r="W13"/>
  <c r="BA12"/>
  <c r="W12"/>
  <c r="BA56"/>
  <c r="W56"/>
  <c r="BA55"/>
  <c r="W55"/>
  <c r="U47"/>
  <c r="BA47" s="1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78"/>
  <c r="AZ37"/>
  <c r="AZ87" s="1"/>
  <c r="AZ77" s="1"/>
  <c r="AW76"/>
  <c r="CZ67" i="5"/>
  <c r="CA76"/>
  <c r="W66"/>
  <c r="AK63"/>
  <c r="AK76"/>
  <c r="AK66" s="1"/>
  <c r="Y64"/>
  <c r="Y65"/>
  <c r="CX8"/>
  <c r="CX63" s="1"/>
  <c r="CX64" s="1"/>
  <c r="CY27"/>
  <c r="AQ27"/>
  <c r="AM26"/>
  <c r="CY26" s="1"/>
  <c r="CT37"/>
  <c r="AJ36"/>
  <c r="AR38"/>
  <c r="CZ38"/>
  <c r="AN37"/>
  <c r="AB64"/>
  <c r="AB65"/>
  <c r="CS10"/>
  <c r="AM10"/>
  <c r="AI9"/>
  <c r="CZ75"/>
  <c r="AR75"/>
  <c r="CY60"/>
  <c r="AQ60"/>
  <c r="CM36"/>
  <c r="CW8"/>
  <c r="CZ111"/>
  <c r="AR111"/>
  <c r="DE96"/>
  <c r="AU96"/>
  <c r="DK96" s="1"/>
  <c r="DE95"/>
  <c r="AU95"/>
  <c r="DK95" s="1"/>
  <c r="DE94"/>
  <c r="AU94"/>
  <c r="DK94" s="1"/>
  <c r="DE93"/>
  <c r="AU93"/>
  <c r="DK93" s="1"/>
  <c r="DE92"/>
  <c r="AU92"/>
  <c r="DK92" s="1"/>
  <c r="DF89"/>
  <c r="AV89"/>
  <c r="DL89" s="1"/>
  <c r="DE91"/>
  <c r="AU91"/>
  <c r="DK91" s="1"/>
  <c r="CS87"/>
  <c r="AM87"/>
  <c r="AG63"/>
  <c r="AG76"/>
  <c r="AG66" s="1"/>
  <c r="AV44"/>
  <c r="DL44" s="1"/>
  <c r="DF44"/>
  <c r="CY85"/>
  <c r="AQ85"/>
  <c r="CY82"/>
  <c r="AQ82"/>
  <c r="CW73"/>
  <c r="DC74"/>
  <c r="CZ83"/>
  <c r="AR83"/>
  <c r="CY81"/>
  <c r="AQ81"/>
  <c r="AM80"/>
  <c r="AV72"/>
  <c r="DL72" s="1"/>
  <c r="DF72"/>
  <c r="DD81"/>
  <c r="CX80"/>
  <c r="DJ74"/>
  <c r="DI71"/>
  <c r="DI70" s="1"/>
  <c r="DC70"/>
  <c r="DI68"/>
  <c r="DI67" s="1"/>
  <c r="DC67"/>
  <c r="DC81"/>
  <c r="CW80"/>
  <c r="AV57"/>
  <c r="DL57" s="1"/>
  <c r="DF57"/>
  <c r="CZ74"/>
  <c r="AR74"/>
  <c r="AN73"/>
  <c r="CS12"/>
  <c r="AM12"/>
  <c r="CZ55"/>
  <c r="AR55"/>
  <c r="CD98"/>
  <c r="CB98"/>
  <c r="CG76"/>
  <c r="AA66"/>
  <c r="DU10"/>
  <c r="DV10"/>
  <c r="BA10"/>
  <c r="E9"/>
  <c r="CW38"/>
  <c r="CY38" s="1"/>
  <c r="CQ37"/>
  <c r="CQ36" s="1"/>
  <c r="CQ76" s="1"/>
  <c r="CQ66" s="1"/>
  <c r="DJ54"/>
  <c r="DJ46" s="1"/>
  <c r="DJ36" s="1"/>
  <c r="DD46"/>
  <c r="DD36" s="1"/>
  <c r="AU69"/>
  <c r="DK69" s="1"/>
  <c r="DE69"/>
  <c r="DE52"/>
  <c r="AU52"/>
  <c r="DK52" s="1"/>
  <c r="AN9"/>
  <c r="CZ10"/>
  <c r="AR10"/>
  <c r="CT9"/>
  <c r="CT65" s="1"/>
  <c r="AJ8"/>
  <c r="AR21"/>
  <c r="CZ21"/>
  <c r="AR16"/>
  <c r="CZ16"/>
  <c r="CS37"/>
  <c r="AI36"/>
  <c r="DF30"/>
  <c r="AV30"/>
  <c r="DL30" s="1"/>
  <c r="CY75"/>
  <c r="AQ75"/>
  <c r="CY68"/>
  <c r="AQ68"/>
  <c r="AM67"/>
  <c r="AM73"/>
  <c r="CY74"/>
  <c r="AQ74"/>
  <c r="CZ54"/>
  <c r="AR54"/>
  <c r="AN46"/>
  <c r="CZ46" s="1"/>
  <c r="CA98"/>
  <c r="CC98"/>
  <c r="CY11"/>
  <c r="AQ11"/>
  <c r="AV68"/>
  <c r="DF68"/>
  <c r="CS73"/>
  <c r="CX70"/>
  <c r="DD71"/>
  <c r="CY42"/>
  <c r="AQ42"/>
  <c r="CY39"/>
  <c r="AQ39"/>
  <c r="CZ34"/>
  <c r="AR34"/>
  <c r="CZ11"/>
  <c r="AR11"/>
  <c r="DD9"/>
  <c r="DJ10"/>
  <c r="DJ9" s="1"/>
  <c r="CS20"/>
  <c r="AM20"/>
  <c r="CY25"/>
  <c r="AQ25"/>
  <c r="CY57"/>
  <c r="AQ57"/>
  <c r="CY23"/>
  <c r="AQ23"/>
  <c r="CY16"/>
  <c r="AQ16"/>
  <c r="CZ39"/>
  <c r="AR39"/>
  <c r="CY29"/>
  <c r="AQ29"/>
  <c r="CZ69"/>
  <c r="AR69"/>
  <c r="CZ33"/>
  <c r="AR33"/>
  <c r="CY31"/>
  <c r="AQ31"/>
  <c r="CZ29"/>
  <c r="AR29"/>
  <c r="DF28"/>
  <c r="AV28"/>
  <c r="DL28" s="1"/>
  <c r="CY24"/>
  <c r="AQ24"/>
  <c r="CZ19"/>
  <c r="AR19"/>
  <c r="CY55"/>
  <c r="AQ55"/>
  <c r="DC46"/>
  <c r="DI54"/>
  <c r="DI46" s="1"/>
  <c r="CZ42"/>
  <c r="AR42"/>
  <c r="CY41"/>
  <c r="AQ41"/>
  <c r="CY35"/>
  <c r="AQ35"/>
  <c r="CY33"/>
  <c r="AQ33"/>
  <c r="CZ32"/>
  <c r="AR32"/>
  <c r="CZ31"/>
  <c r="AR31"/>
  <c r="CY30"/>
  <c r="AQ30"/>
  <c r="CS22"/>
  <c r="AM22"/>
  <c r="CS17"/>
  <c r="AM17"/>
  <c r="CS15"/>
  <c r="AM15"/>
  <c r="CZ12"/>
  <c r="AR12"/>
  <c r="CY28"/>
  <c r="AQ28"/>
  <c r="CY111"/>
  <c r="AQ111"/>
  <c r="CY86"/>
  <c r="AQ86"/>
  <c r="DF87"/>
  <c r="AV87"/>
  <c r="DL87" s="1"/>
  <c r="CZ85"/>
  <c r="AR85"/>
  <c r="CZ82"/>
  <c r="AR82"/>
  <c r="CN36"/>
  <c r="AF76"/>
  <c r="DE89"/>
  <c r="AU89"/>
  <c r="DK89" s="1"/>
  <c r="CZ86"/>
  <c r="AR86"/>
  <c r="CZ84"/>
  <c r="AR84"/>
  <c r="DD75"/>
  <c r="DC75"/>
  <c r="CM9"/>
  <c r="CM65" s="1"/>
  <c r="AE8"/>
  <c r="CY34"/>
  <c r="AQ34"/>
  <c r="CZ23"/>
  <c r="AR23"/>
  <c r="CS21"/>
  <c r="AM21"/>
  <c r="CZ18"/>
  <c r="AR18"/>
  <c r="CY13"/>
  <c r="AQ13"/>
  <c r="CY84"/>
  <c r="AQ84"/>
  <c r="CZ81"/>
  <c r="AR81"/>
  <c r="AN80"/>
  <c r="AV35"/>
  <c r="DL35" s="1"/>
  <c r="DF35"/>
  <c r="DI27"/>
  <c r="DI26" s="1"/>
  <c r="DC26"/>
  <c r="DJ27"/>
  <c r="DJ26" s="1"/>
  <c r="DD26"/>
  <c r="DI10"/>
  <c r="DI9" s="1"/>
  <c r="DC9"/>
  <c r="DM7"/>
  <c r="DK7"/>
  <c r="DN7"/>
  <c r="DL7"/>
  <c r="AV20"/>
  <c r="DL20" s="1"/>
  <c r="DF20"/>
  <c r="W64"/>
  <c r="W65"/>
  <c r="CZ27"/>
  <c r="AR27"/>
  <c r="AN26"/>
  <c r="CZ26" s="1"/>
  <c r="AM46"/>
  <c r="CY46" s="1"/>
  <c r="CY54"/>
  <c r="AQ54"/>
  <c r="CS18"/>
  <c r="AM18"/>
  <c r="CY72"/>
  <c r="AQ72"/>
  <c r="CZ60"/>
  <c r="AR60"/>
  <c r="CZ52"/>
  <c r="AR52"/>
  <c r="CY44"/>
  <c r="AQ44"/>
  <c r="CY43"/>
  <c r="AQ43"/>
  <c r="CY83"/>
  <c r="AQ83"/>
  <c r="CH76"/>
  <c r="AB66"/>
  <c r="AF63"/>
  <c r="CN8"/>
  <c r="AA63"/>
  <c r="CG8"/>
  <c r="AR22"/>
  <c r="CZ22"/>
  <c r="AR17"/>
  <c r="CZ17"/>
  <c r="AV13"/>
  <c r="DL13" s="1"/>
  <c r="DF13"/>
  <c r="DF41"/>
  <c r="AV41"/>
  <c r="DL41" s="1"/>
  <c r="AM14"/>
  <c r="CS14"/>
  <c r="CY71"/>
  <c r="AQ71"/>
  <c r="AM70"/>
  <c r="CY70" s="1"/>
  <c r="AM37"/>
  <c r="AQ38"/>
  <c r="AO63"/>
  <c r="AO76"/>
  <c r="AO66" s="1"/>
  <c r="CS19"/>
  <c r="AM19"/>
  <c r="CS67"/>
  <c r="AU32"/>
  <c r="DK32" s="1"/>
  <c r="DE32"/>
  <c r="AV43"/>
  <c r="DL43" s="1"/>
  <c r="DF43"/>
  <c r="AQ90"/>
  <c r="CY90"/>
  <c r="AR71"/>
  <c r="AN70"/>
  <c r="CZ71"/>
  <c r="CX73"/>
  <c r="CS38"/>
  <c r="CT70"/>
  <c r="CK64" l="1"/>
  <c r="CQ63"/>
  <c r="CQ65" s="1"/>
  <c r="AW76" i="10"/>
  <c r="CZ70" i="5"/>
  <c r="BC37" i="8"/>
  <c r="BC37" i="9"/>
  <c r="AZ87"/>
  <c r="AZ77" s="1"/>
  <c r="AV87" i="11"/>
  <c r="DL87" s="1"/>
  <c r="CX76" i="5"/>
  <c r="CX66" s="1"/>
  <c r="CZ80"/>
  <c r="DL94" i="11"/>
  <c r="AV91"/>
  <c r="DL91" s="1"/>
  <c r="BF37" i="8"/>
  <c r="BF37" i="9"/>
  <c r="CY73" i="5"/>
  <c r="BC37" i="10"/>
  <c r="DJ77" i="11"/>
  <c r="DK94"/>
  <c r="AU91"/>
  <c r="DK91" s="1"/>
  <c r="AZ74" i="10"/>
  <c r="AZ75" s="1"/>
  <c r="BF37"/>
  <c r="CV114" i="11"/>
  <c r="CU114"/>
  <c r="CX12"/>
  <c r="CR75"/>
  <c r="CR76"/>
  <c r="U118"/>
  <c r="W114"/>
  <c r="CA114" s="1"/>
  <c r="N114" i="8"/>
  <c r="AR114" s="1"/>
  <c r="CR114" i="11"/>
  <c r="CP118"/>
  <c r="CR118" s="1"/>
  <c r="X114"/>
  <c r="CB114" s="1"/>
  <c r="V118"/>
  <c r="CW12"/>
  <c r="CQ75"/>
  <c r="CQ76"/>
  <c r="CO118"/>
  <c r="CQ118" s="1"/>
  <c r="CQ114"/>
  <c r="AZ87" i="10"/>
  <c r="AZ77" s="1"/>
  <c r="AU74" i="11"/>
  <c r="DK9"/>
  <c r="AQ75"/>
  <c r="AQ76"/>
  <c r="DE87"/>
  <c r="AQ77"/>
  <c r="AV74"/>
  <c r="DL9"/>
  <c r="AR75"/>
  <c r="AR76"/>
  <c r="AU87"/>
  <c r="AR77"/>
  <c r="AU87" i="10"/>
  <c r="Q77"/>
  <c r="BD92"/>
  <c r="Y92"/>
  <c r="W91"/>
  <c r="BD91" s="1"/>
  <c r="BD11"/>
  <c r="Y11"/>
  <c r="W10"/>
  <c r="BD94"/>
  <c r="Y94"/>
  <c r="BG94" s="1"/>
  <c r="BD55"/>
  <c r="Y55"/>
  <c r="W47"/>
  <c r="BD47" s="1"/>
  <c r="BD40"/>
  <c r="Y40"/>
  <c r="BG40" s="1"/>
  <c r="BD53"/>
  <c r="Y53"/>
  <c r="BG53" s="1"/>
  <c r="BD58"/>
  <c r="Y58"/>
  <c r="BG58" s="1"/>
  <c r="BD61"/>
  <c r="Y61"/>
  <c r="BG61" s="1"/>
  <c r="BD13"/>
  <c r="Y13"/>
  <c r="BG13" s="1"/>
  <c r="BD15"/>
  <c r="Y15"/>
  <c r="BG15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X114"/>
  <c r="Y114" s="1"/>
  <c r="BB114"/>
  <c r="BC114" s="1"/>
  <c r="BD42"/>
  <c r="Y42"/>
  <c r="BG42" s="1"/>
  <c r="BD43"/>
  <c r="Y43"/>
  <c r="BG43" s="1"/>
  <c r="BD44"/>
  <c r="Y44"/>
  <c r="BG44" s="1"/>
  <c r="BD45"/>
  <c r="Y45"/>
  <c r="BG45" s="1"/>
  <c r="BD83"/>
  <c r="Y83"/>
  <c r="BG83" s="1"/>
  <c r="BF86"/>
  <c r="BF84" s="1"/>
  <c r="BD95"/>
  <c r="Y95"/>
  <c r="BG95" s="1"/>
  <c r="BD96"/>
  <c r="Y96"/>
  <c r="BG96" s="1"/>
  <c r="BD12"/>
  <c r="Y12"/>
  <c r="BG12" s="1"/>
  <c r="BD14"/>
  <c r="Y14"/>
  <c r="BG14" s="1"/>
  <c r="BD16"/>
  <c r="Y16"/>
  <c r="BG16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A78"/>
  <c r="BD39"/>
  <c r="Y39"/>
  <c r="W38"/>
  <c r="BC9"/>
  <c r="BC74" s="1"/>
  <c r="BC75" s="1"/>
  <c r="BD56"/>
  <c r="Y56"/>
  <c r="BG56" s="1"/>
  <c r="BD80"/>
  <c r="Y80"/>
  <c r="BG80" s="1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28"/>
  <c r="BG128"/>
  <c r="BD30"/>
  <c r="Y30"/>
  <c r="BG30" s="1"/>
  <c r="BD32"/>
  <c r="Y32"/>
  <c r="BG32" s="1"/>
  <c r="BD34"/>
  <c r="Y34"/>
  <c r="BG34" s="1"/>
  <c r="BD36"/>
  <c r="Y36"/>
  <c r="BG36" s="1"/>
  <c r="Q75"/>
  <c r="Q76"/>
  <c r="BD28"/>
  <c r="Y28"/>
  <c r="W27"/>
  <c r="BD27" s="1"/>
  <c r="AX37"/>
  <c r="S87"/>
  <c r="BA10"/>
  <c r="U9"/>
  <c r="BD82"/>
  <c r="Y82"/>
  <c r="W81"/>
  <c r="BD81" s="1"/>
  <c r="BD79"/>
  <c r="Y79"/>
  <c r="W78"/>
  <c r="BA38"/>
  <c r="U37"/>
  <c r="BF9"/>
  <c r="S74"/>
  <c r="AX9"/>
  <c r="BD85"/>
  <c r="Y85"/>
  <c r="W84"/>
  <c r="BD84" s="1"/>
  <c r="BD86"/>
  <c r="Y86"/>
  <c r="AZ76"/>
  <c r="AX37" i="9"/>
  <c r="S87"/>
  <c r="BD82"/>
  <c r="Y82"/>
  <c r="W81"/>
  <c r="BD81" s="1"/>
  <c r="BF9"/>
  <c r="S74"/>
  <c r="AX9"/>
  <c r="BD79"/>
  <c r="Y79"/>
  <c r="W78"/>
  <c r="BD39"/>
  <c r="Y39"/>
  <c r="W38"/>
  <c r="BD92"/>
  <c r="Y92"/>
  <c r="W91"/>
  <c r="BD91" s="1"/>
  <c r="BD94"/>
  <c r="Y94"/>
  <c r="BG94" s="1"/>
  <c r="BA10"/>
  <c r="U9"/>
  <c r="BD83"/>
  <c r="Y83"/>
  <c r="BG83" s="1"/>
  <c r="BF86"/>
  <c r="BD95"/>
  <c r="Y95"/>
  <c r="BG95" s="1"/>
  <c r="BD96"/>
  <c r="Y96"/>
  <c r="BG96" s="1"/>
  <c r="BD13"/>
  <c r="Y13"/>
  <c r="BG13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AU87"/>
  <c r="Q77"/>
  <c r="BD85"/>
  <c r="Y85"/>
  <c r="W84"/>
  <c r="BD84" s="1"/>
  <c r="BD86"/>
  <c r="Y86"/>
  <c r="BC9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31"/>
  <c r="BG131"/>
  <c r="BD30"/>
  <c r="Y30"/>
  <c r="BG30" s="1"/>
  <c r="BD32"/>
  <c r="Y32"/>
  <c r="BG32" s="1"/>
  <c r="BD34"/>
  <c r="Y34"/>
  <c r="BG34" s="1"/>
  <c r="BD36"/>
  <c r="Y36"/>
  <c r="BG36" s="1"/>
  <c r="X114"/>
  <c r="Y114" s="1"/>
  <c r="AY118"/>
  <c r="AZ118" s="1"/>
  <c r="BB114"/>
  <c r="BC114" s="1"/>
  <c r="BD42"/>
  <c r="Y42"/>
  <c r="BG42" s="1"/>
  <c r="BD43"/>
  <c r="Y43"/>
  <c r="BG43" s="1"/>
  <c r="BD44"/>
  <c r="Y44"/>
  <c r="BG44" s="1"/>
  <c r="BD45"/>
  <c r="Y45"/>
  <c r="BG45" s="1"/>
  <c r="BD40"/>
  <c r="Y40"/>
  <c r="BG40" s="1"/>
  <c r="BD53"/>
  <c r="Y53"/>
  <c r="BG53" s="1"/>
  <c r="BD58"/>
  <c r="Y58"/>
  <c r="BG58" s="1"/>
  <c r="BD61"/>
  <c r="Y61"/>
  <c r="BG61" s="1"/>
  <c r="BA78"/>
  <c r="BA38"/>
  <c r="U37"/>
  <c r="BD80"/>
  <c r="Y80"/>
  <c r="BG80" s="1"/>
  <c r="BD56"/>
  <c r="Y56"/>
  <c r="BG56" s="1"/>
  <c r="BD12"/>
  <c r="Y12"/>
  <c r="BG12" s="1"/>
  <c r="BD14"/>
  <c r="Y14"/>
  <c r="BG14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D55"/>
  <c r="Y55"/>
  <c r="W47"/>
  <c r="BD47" s="1"/>
  <c r="Q75"/>
  <c r="Q76"/>
  <c r="BD28"/>
  <c r="Y28"/>
  <c r="W27"/>
  <c r="BD27" s="1"/>
  <c r="BD11"/>
  <c r="Y11"/>
  <c r="W10"/>
  <c r="BF84"/>
  <c r="AZ74"/>
  <c r="BD55" i="8"/>
  <c r="Y55"/>
  <c r="W47"/>
  <c r="BD47" s="1"/>
  <c r="BD56"/>
  <c r="Y56"/>
  <c r="BG56" s="1"/>
  <c r="BD12"/>
  <c r="Y12"/>
  <c r="BG12" s="1"/>
  <c r="BD13"/>
  <c r="Y13"/>
  <c r="BG13" s="1"/>
  <c r="BD17"/>
  <c r="Y17"/>
  <c r="BG17" s="1"/>
  <c r="BD19"/>
  <c r="Y19"/>
  <c r="BG19" s="1"/>
  <c r="BD20"/>
  <c r="Y20"/>
  <c r="BG20" s="1"/>
  <c r="BD23"/>
  <c r="Y23"/>
  <c r="BG23" s="1"/>
  <c r="BC9"/>
  <c r="BC74" s="1"/>
  <c r="BC75" s="1"/>
  <c r="AY118"/>
  <c r="AZ118" s="1"/>
  <c r="BB114"/>
  <c r="BC114" s="1"/>
  <c r="BD94"/>
  <c r="Y94"/>
  <c r="BG94" s="1"/>
  <c r="BD42"/>
  <c r="Y42"/>
  <c r="BG42" s="1"/>
  <c r="BD43"/>
  <c r="Y43"/>
  <c r="BG43" s="1"/>
  <c r="BD44"/>
  <c r="Y44"/>
  <c r="BG44" s="1"/>
  <c r="BD45"/>
  <c r="Y45"/>
  <c r="BG45" s="1"/>
  <c r="BD29"/>
  <c r="Y29"/>
  <c r="BG29" s="1"/>
  <c r="BD30"/>
  <c r="Y30"/>
  <c r="BG30" s="1"/>
  <c r="BD31"/>
  <c r="Y31"/>
  <c r="BG31" s="1"/>
  <c r="BD32"/>
  <c r="Y32"/>
  <c r="BG32" s="1"/>
  <c r="BD33"/>
  <c r="Y33"/>
  <c r="BG33" s="1"/>
  <c r="BD34"/>
  <c r="Y34"/>
  <c r="BG34" s="1"/>
  <c r="BD35"/>
  <c r="Y35"/>
  <c r="BG35" s="1"/>
  <c r="BD36"/>
  <c r="Y36"/>
  <c r="BG36" s="1"/>
  <c r="BD39"/>
  <c r="Y39"/>
  <c r="W38"/>
  <c r="S74"/>
  <c r="AX9"/>
  <c r="BD79"/>
  <c r="Y79"/>
  <c r="W78"/>
  <c r="BD25"/>
  <c r="Y25"/>
  <c r="BG25" s="1"/>
  <c r="BD26"/>
  <c r="Y26"/>
  <c r="BG26" s="1"/>
  <c r="BD82"/>
  <c r="Y82"/>
  <c r="W81"/>
  <c r="BD81" s="1"/>
  <c r="AU87"/>
  <c r="Q77"/>
  <c r="Q75"/>
  <c r="Q76"/>
  <c r="BD85"/>
  <c r="Y85"/>
  <c r="W84"/>
  <c r="BD84" s="1"/>
  <c r="BD86"/>
  <c r="Y86"/>
  <c r="AX37"/>
  <c r="S87"/>
  <c r="BA10"/>
  <c r="U9"/>
  <c r="BD93"/>
  <c r="Y93"/>
  <c r="BG93" s="1"/>
  <c r="BD98"/>
  <c r="Y98"/>
  <c r="BG98" s="1"/>
  <c r="BD99"/>
  <c r="Y99"/>
  <c r="BG99" s="1"/>
  <c r="BD100"/>
  <c r="Y100"/>
  <c r="BG100" s="1"/>
  <c r="BD131"/>
  <c r="BG131"/>
  <c r="BD61"/>
  <c r="Y61"/>
  <c r="BG61" s="1"/>
  <c r="BD80"/>
  <c r="Y80"/>
  <c r="BG80" s="1"/>
  <c r="BD83"/>
  <c r="Y83"/>
  <c r="BG83" s="1"/>
  <c r="BD95"/>
  <c r="Y95"/>
  <c r="BG95" s="1"/>
  <c r="BF9"/>
  <c r="BA38"/>
  <c r="U37"/>
  <c r="BF86"/>
  <c r="BD96"/>
  <c r="Y96"/>
  <c r="BG96" s="1"/>
  <c r="BD14"/>
  <c r="Y14"/>
  <c r="BG14" s="1"/>
  <c r="BD18"/>
  <c r="Y18"/>
  <c r="BG18" s="1"/>
  <c r="BD21"/>
  <c r="Y21"/>
  <c r="BG21" s="1"/>
  <c r="BD22"/>
  <c r="Y22"/>
  <c r="BG22" s="1"/>
  <c r="BD24"/>
  <c r="Y24"/>
  <c r="BG24" s="1"/>
  <c r="BA78"/>
  <c r="BD92"/>
  <c r="Y92"/>
  <c r="W91"/>
  <c r="BD91" s="1"/>
  <c r="BD97"/>
  <c r="Y97"/>
  <c r="BG97" s="1"/>
  <c r="BD28"/>
  <c r="Y28"/>
  <c r="W27"/>
  <c r="BD27" s="1"/>
  <c r="BD40"/>
  <c r="Y40"/>
  <c r="BG40" s="1"/>
  <c r="BD53"/>
  <c r="Y53"/>
  <c r="BG53" s="1"/>
  <c r="BD58"/>
  <c r="Y58"/>
  <c r="BG58" s="1"/>
  <c r="BD11"/>
  <c r="Y11"/>
  <c r="W10"/>
  <c r="AZ74"/>
  <c r="BF84"/>
  <c r="AV71" i="5"/>
  <c r="AR70"/>
  <c r="DF71"/>
  <c r="AU90"/>
  <c r="DK90" s="1"/>
  <c r="DE90"/>
  <c r="AO64"/>
  <c r="AO65"/>
  <c r="AM36"/>
  <c r="AQ14"/>
  <c r="CY14"/>
  <c r="AV17"/>
  <c r="DL17" s="1"/>
  <c r="DF17"/>
  <c r="AV22"/>
  <c r="DL22" s="1"/>
  <c r="DF22"/>
  <c r="AA64"/>
  <c r="AA65"/>
  <c r="AF64"/>
  <c r="AF65"/>
  <c r="DI8"/>
  <c r="DF81"/>
  <c r="AV81"/>
  <c r="AR80"/>
  <c r="DE84"/>
  <c r="AU84"/>
  <c r="DK84" s="1"/>
  <c r="DE13"/>
  <c r="AU13"/>
  <c r="DK13" s="1"/>
  <c r="DF18"/>
  <c r="AV18"/>
  <c r="DL18" s="1"/>
  <c r="CY21"/>
  <c r="AQ21"/>
  <c r="DF23"/>
  <c r="AV23"/>
  <c r="DL23" s="1"/>
  <c r="DE34"/>
  <c r="AU34"/>
  <c r="DK34" s="1"/>
  <c r="AE63"/>
  <c r="CM8"/>
  <c r="DD8"/>
  <c r="DD63" s="1"/>
  <c r="DD64" s="1"/>
  <c r="DE11"/>
  <c r="AU11"/>
  <c r="DK11" s="1"/>
  <c r="CC99"/>
  <c r="CE98"/>
  <c r="CY67"/>
  <c r="CS36"/>
  <c r="AJ63"/>
  <c r="CT8"/>
  <c r="E99"/>
  <c r="DV9"/>
  <c r="DV65" s="1"/>
  <c r="DU9"/>
  <c r="DU65" s="1"/>
  <c r="BA9"/>
  <c r="BA65" s="1"/>
  <c r="E8"/>
  <c r="AV55"/>
  <c r="DL55" s="1"/>
  <c r="DF55"/>
  <c r="CY12"/>
  <c r="AQ12"/>
  <c r="DI81"/>
  <c r="DI80" s="1"/>
  <c r="DC80"/>
  <c r="DJ81"/>
  <c r="DJ80" s="1"/>
  <c r="DD80"/>
  <c r="DE81"/>
  <c r="AU81"/>
  <c r="AQ80"/>
  <c r="DF83"/>
  <c r="AV83"/>
  <c r="DL83" s="1"/>
  <c r="DC73"/>
  <c r="DI74"/>
  <c r="DE82"/>
  <c r="AU82"/>
  <c r="DK82" s="1"/>
  <c r="DE85"/>
  <c r="AU85"/>
  <c r="DK85" s="1"/>
  <c r="CY87"/>
  <c r="AQ87"/>
  <c r="DF111"/>
  <c r="AV111"/>
  <c r="DL111" s="1"/>
  <c r="AU60"/>
  <c r="DK60" s="1"/>
  <c r="DE60"/>
  <c r="DF75"/>
  <c r="AV75"/>
  <c r="CY10"/>
  <c r="AQ10"/>
  <c r="AM9"/>
  <c r="CZ37"/>
  <c r="AN36"/>
  <c r="AV38"/>
  <c r="DF38"/>
  <c r="AR37"/>
  <c r="DE27"/>
  <c r="AU27"/>
  <c r="AQ26"/>
  <c r="DE26" s="1"/>
  <c r="CZ73"/>
  <c r="AE76"/>
  <c r="CY19"/>
  <c r="AQ19"/>
  <c r="AQ37"/>
  <c r="AU38"/>
  <c r="DE71"/>
  <c r="AU71"/>
  <c r="AQ70"/>
  <c r="DE70" s="1"/>
  <c r="DE83"/>
  <c r="AU83"/>
  <c r="DK83" s="1"/>
  <c r="DE43"/>
  <c r="AU43"/>
  <c r="DK43" s="1"/>
  <c r="DE44"/>
  <c r="AU44"/>
  <c r="DK44" s="1"/>
  <c r="DF52"/>
  <c r="AV52"/>
  <c r="DL52" s="1"/>
  <c r="DF60"/>
  <c r="AV60"/>
  <c r="DL60" s="1"/>
  <c r="DE72"/>
  <c r="AU72"/>
  <c r="DK72" s="1"/>
  <c r="CY18"/>
  <c r="AQ18"/>
  <c r="AU54"/>
  <c r="AQ46"/>
  <c r="DE46" s="1"/>
  <c r="DE54"/>
  <c r="DF27"/>
  <c r="AV27"/>
  <c r="AR26"/>
  <c r="DF26" s="1"/>
  <c r="DC8"/>
  <c r="DI75"/>
  <c r="DD76"/>
  <c r="DJ75"/>
  <c r="DJ73" s="1"/>
  <c r="DF84"/>
  <c r="AV84"/>
  <c r="DL84" s="1"/>
  <c r="DF86"/>
  <c r="AV86"/>
  <c r="DL86" s="1"/>
  <c r="CN76"/>
  <c r="AF66"/>
  <c r="DF82"/>
  <c r="AV82"/>
  <c r="DL82" s="1"/>
  <c r="DF85"/>
  <c r="AV85"/>
  <c r="DL85" s="1"/>
  <c r="DE86"/>
  <c r="AU86"/>
  <c r="DK86" s="1"/>
  <c r="DE111"/>
  <c r="AU111"/>
  <c r="DK111" s="1"/>
  <c r="DE28"/>
  <c r="AU28"/>
  <c r="DK28" s="1"/>
  <c r="DF12"/>
  <c r="AV12"/>
  <c r="DL12" s="1"/>
  <c r="CY15"/>
  <c r="AQ15"/>
  <c r="CY17"/>
  <c r="AQ17"/>
  <c r="CY22"/>
  <c r="AQ22"/>
  <c r="DE30"/>
  <c r="AU30"/>
  <c r="DK30" s="1"/>
  <c r="DF31"/>
  <c r="AV31"/>
  <c r="DL31" s="1"/>
  <c r="DF32"/>
  <c r="AV32"/>
  <c r="DL32" s="1"/>
  <c r="DE33"/>
  <c r="AU33"/>
  <c r="DK33" s="1"/>
  <c r="DE35"/>
  <c r="AU35"/>
  <c r="DK35" s="1"/>
  <c r="DE41"/>
  <c r="AU41"/>
  <c r="DK41" s="1"/>
  <c r="DF42"/>
  <c r="AV42"/>
  <c r="DL42" s="1"/>
  <c r="DE55"/>
  <c r="AU55"/>
  <c r="DK55" s="1"/>
  <c r="DF19"/>
  <c r="AV19"/>
  <c r="DL19" s="1"/>
  <c r="DE24"/>
  <c r="AU24"/>
  <c r="DK24" s="1"/>
  <c r="DF29"/>
  <c r="AV29"/>
  <c r="DL29" s="1"/>
  <c r="DE31"/>
  <c r="AU31"/>
  <c r="DK31" s="1"/>
  <c r="DF33"/>
  <c r="AV33"/>
  <c r="DL33" s="1"/>
  <c r="DF69"/>
  <c r="AV69"/>
  <c r="DL69" s="1"/>
  <c r="DE29"/>
  <c r="AU29"/>
  <c r="DK29" s="1"/>
  <c r="DF39"/>
  <c r="AV39"/>
  <c r="DL39" s="1"/>
  <c r="DE16"/>
  <c r="AU16"/>
  <c r="DK16" s="1"/>
  <c r="DE23"/>
  <c r="AU23"/>
  <c r="DK23" s="1"/>
  <c r="DE57"/>
  <c r="AU57"/>
  <c r="DK57" s="1"/>
  <c r="DE25"/>
  <c r="AU25"/>
  <c r="DK25" s="1"/>
  <c r="CY20"/>
  <c r="AQ20"/>
  <c r="DJ8"/>
  <c r="DJ63" s="1"/>
  <c r="DJ64" s="1"/>
  <c r="DF11"/>
  <c r="AV11"/>
  <c r="DL11" s="1"/>
  <c r="DF34"/>
  <c r="AV34"/>
  <c r="DL34" s="1"/>
  <c r="DE39"/>
  <c r="AU39"/>
  <c r="DK39" s="1"/>
  <c r="DE42"/>
  <c r="AU42"/>
  <c r="DK42" s="1"/>
  <c r="DD70"/>
  <c r="DJ71"/>
  <c r="DJ70" s="1"/>
  <c r="CQ64"/>
  <c r="DL68"/>
  <c r="DF54"/>
  <c r="AV54"/>
  <c r="AR46"/>
  <c r="DF46" s="1"/>
  <c r="AQ73"/>
  <c r="DE74"/>
  <c r="AU74"/>
  <c r="DE68"/>
  <c r="AU68"/>
  <c r="AQ67"/>
  <c r="DE75"/>
  <c r="AU75"/>
  <c r="AV16"/>
  <c r="DL16" s="1"/>
  <c r="DF16"/>
  <c r="AV21"/>
  <c r="DL21" s="1"/>
  <c r="DF21"/>
  <c r="AR9"/>
  <c r="DF10"/>
  <c r="AV10"/>
  <c r="CZ9"/>
  <c r="CZ65" s="1"/>
  <c r="AN8"/>
  <c r="DC38"/>
  <c r="CW37"/>
  <c r="CW36" s="1"/>
  <c r="CW76" s="1"/>
  <c r="CW66" s="1"/>
  <c r="CD99"/>
  <c r="CF98"/>
  <c r="DF74"/>
  <c r="AV74"/>
  <c r="AR73"/>
  <c r="AG64"/>
  <c r="AG65"/>
  <c r="CS9"/>
  <c r="CS65" s="1"/>
  <c r="AI8"/>
  <c r="CT36"/>
  <c r="AJ76"/>
  <c r="AK64"/>
  <c r="AK65"/>
  <c r="AR67"/>
  <c r="DD73"/>
  <c r="CY80"/>
  <c r="CX65"/>
  <c r="BF74" i="9" l="1"/>
  <c r="BF75" s="1"/>
  <c r="BC74"/>
  <c r="BC75" s="1"/>
  <c r="AV77" i="11"/>
  <c r="BF87" i="8"/>
  <c r="BF77" s="1"/>
  <c r="BF87" i="9"/>
  <c r="BF77" s="1"/>
  <c r="DE73" i="5"/>
  <c r="AV67"/>
  <c r="DL67" s="1"/>
  <c r="BF74" i="10"/>
  <c r="BF75" s="1"/>
  <c r="BF74" i="8"/>
  <c r="BF75" s="1"/>
  <c r="O114"/>
  <c r="Z114" i="11"/>
  <c r="Y114"/>
  <c r="CV118"/>
  <c r="CX118" s="1"/>
  <c r="CX114"/>
  <c r="BC76" i="10"/>
  <c r="DB114" i="11"/>
  <c r="DA114"/>
  <c r="BE114" i="8"/>
  <c r="BF114" s="1"/>
  <c r="DC12" i="11"/>
  <c r="CW75"/>
  <c r="CW76"/>
  <c r="DD12"/>
  <c r="CX76"/>
  <c r="CX75"/>
  <c r="CW114"/>
  <c r="CU118"/>
  <c r="CW118" s="1"/>
  <c r="DK87"/>
  <c r="AU77"/>
  <c r="AV75"/>
  <c r="AV76"/>
  <c r="AU75"/>
  <c r="AU76"/>
  <c r="BG86" i="10"/>
  <c r="BG85"/>
  <c r="Y84"/>
  <c r="BG84" s="1"/>
  <c r="BG79"/>
  <c r="Y78"/>
  <c r="BG82"/>
  <c r="Y81"/>
  <c r="BG81" s="1"/>
  <c r="U74"/>
  <c r="BA9"/>
  <c r="AX87"/>
  <c r="S77"/>
  <c r="BG39"/>
  <c r="Y38"/>
  <c r="BE114"/>
  <c r="BF114" s="1"/>
  <c r="Z114"/>
  <c r="BD114" s="1"/>
  <c r="BD10"/>
  <c r="W9"/>
  <c r="BF87"/>
  <c r="BF77" s="1"/>
  <c r="S75"/>
  <c r="S76"/>
  <c r="BA37"/>
  <c r="U87"/>
  <c r="BD78"/>
  <c r="BG28"/>
  <c r="Y27"/>
  <c r="BG27" s="1"/>
  <c r="BD38"/>
  <c r="W37"/>
  <c r="BG55"/>
  <c r="Y47"/>
  <c r="BG47" s="1"/>
  <c r="BG11"/>
  <c r="Y10"/>
  <c r="BG92"/>
  <c r="Y91"/>
  <c r="BG91" s="1"/>
  <c r="BC87"/>
  <c r="BC77" s="1"/>
  <c r="BG11" i="9"/>
  <c r="Y10"/>
  <c r="BG55"/>
  <c r="Y47"/>
  <c r="BG47" s="1"/>
  <c r="BA37"/>
  <c r="U87"/>
  <c r="BB118"/>
  <c r="BC118" s="1"/>
  <c r="BE114"/>
  <c r="BF114" s="1"/>
  <c r="Z114"/>
  <c r="BD114" s="1"/>
  <c r="U74"/>
  <c r="BA9"/>
  <c r="BG92"/>
  <c r="Y91"/>
  <c r="BG91" s="1"/>
  <c r="BD38"/>
  <c r="W37"/>
  <c r="BG79"/>
  <c r="Y78"/>
  <c r="BG82"/>
  <c r="Y81"/>
  <c r="BG81" s="1"/>
  <c r="AX87"/>
  <c r="S77"/>
  <c r="BC87"/>
  <c r="BC77" s="1"/>
  <c r="AZ75"/>
  <c r="AZ76"/>
  <c r="BD10"/>
  <c r="W9"/>
  <c r="BG28"/>
  <c r="Y27"/>
  <c r="BG27" s="1"/>
  <c r="BG86"/>
  <c r="BG85"/>
  <c r="Y84"/>
  <c r="BG84" s="1"/>
  <c r="BG39"/>
  <c r="Y38"/>
  <c r="BD78"/>
  <c r="S75"/>
  <c r="S76"/>
  <c r="BG11" i="8"/>
  <c r="Y10"/>
  <c r="BG92"/>
  <c r="Y91"/>
  <c r="BG91" s="1"/>
  <c r="BA37"/>
  <c r="U87"/>
  <c r="U74"/>
  <c r="BA9"/>
  <c r="BG82"/>
  <c r="Y81"/>
  <c r="BG81" s="1"/>
  <c r="BD78"/>
  <c r="S75"/>
  <c r="S76"/>
  <c r="BG39"/>
  <c r="Y38"/>
  <c r="BB118"/>
  <c r="BC118" s="1"/>
  <c r="BG55"/>
  <c r="Y47"/>
  <c r="BG47" s="1"/>
  <c r="AZ75"/>
  <c r="AZ76"/>
  <c r="BD10"/>
  <c r="W9"/>
  <c r="BG28"/>
  <c r="Y27"/>
  <c r="BG27" s="1"/>
  <c r="AX87"/>
  <c r="S77"/>
  <c r="BG86"/>
  <c r="BG85"/>
  <c r="Y84"/>
  <c r="BG84" s="1"/>
  <c r="BG79"/>
  <c r="Y78"/>
  <c r="BD38"/>
  <c r="W37"/>
  <c r="BC87"/>
  <c r="BC77" s="1"/>
  <c r="BC76"/>
  <c r="DF67" i="5"/>
  <c r="DI38"/>
  <c r="DI37" s="1"/>
  <c r="DI36" s="1"/>
  <c r="DI76" s="1"/>
  <c r="DC37"/>
  <c r="DC36" s="1"/>
  <c r="DC76" s="1"/>
  <c r="DC66" s="1"/>
  <c r="AV9"/>
  <c r="DL10"/>
  <c r="DF9"/>
  <c r="DF65" s="1"/>
  <c r="AR8"/>
  <c r="DE67"/>
  <c r="DL27"/>
  <c r="AV26"/>
  <c r="DL26" s="1"/>
  <c r="AU46"/>
  <c r="DK46" s="1"/>
  <c r="DK54"/>
  <c r="DK71"/>
  <c r="AU70"/>
  <c r="DK70" s="1"/>
  <c r="AU37"/>
  <c r="CM76"/>
  <c r="AE66"/>
  <c r="CZ36"/>
  <c r="AN76"/>
  <c r="CY9"/>
  <c r="CY65" s="1"/>
  <c r="AM8"/>
  <c r="AM76" s="1"/>
  <c r="DE87"/>
  <c r="AU87"/>
  <c r="DK87" s="1"/>
  <c r="AJ64"/>
  <c r="AJ65"/>
  <c r="AE64"/>
  <c r="AE65"/>
  <c r="DL81"/>
  <c r="AV80"/>
  <c r="DL80" s="1"/>
  <c r="CY36"/>
  <c r="AV70"/>
  <c r="DL70" s="1"/>
  <c r="DL71"/>
  <c r="DF73"/>
  <c r="DD66"/>
  <c r="DJ65"/>
  <c r="DE38"/>
  <c r="DI73"/>
  <c r="DE80"/>
  <c r="DD65"/>
  <c r="CT76"/>
  <c r="AJ66"/>
  <c r="AI63"/>
  <c r="CS8"/>
  <c r="DL74"/>
  <c r="AV73"/>
  <c r="DL73" s="1"/>
  <c r="CJ98"/>
  <c r="CH98"/>
  <c r="AN63"/>
  <c r="CZ8"/>
  <c r="DK75"/>
  <c r="DK68"/>
  <c r="AU67"/>
  <c r="AU73"/>
  <c r="DK74"/>
  <c r="DL54"/>
  <c r="AV46"/>
  <c r="DL46" s="1"/>
  <c r="DE20"/>
  <c r="AU20"/>
  <c r="DK20" s="1"/>
  <c r="DE22"/>
  <c r="AU22"/>
  <c r="DK22" s="1"/>
  <c r="DE17"/>
  <c r="AU17"/>
  <c r="DK17" s="1"/>
  <c r="AU15"/>
  <c r="DK15" s="1"/>
  <c r="DE15"/>
  <c r="DE18"/>
  <c r="AU18"/>
  <c r="DK18" s="1"/>
  <c r="AQ36"/>
  <c r="DE19"/>
  <c r="AU19"/>
  <c r="DK19" s="1"/>
  <c r="DK27"/>
  <c r="AU26"/>
  <c r="DK26" s="1"/>
  <c r="DF37"/>
  <c r="AR36"/>
  <c r="DL38"/>
  <c r="AV37"/>
  <c r="DE10"/>
  <c r="AU10"/>
  <c r="AQ9"/>
  <c r="DL75"/>
  <c r="DK81"/>
  <c r="AU80"/>
  <c r="DK80" s="1"/>
  <c r="DE12"/>
  <c r="AU12"/>
  <c r="DK12" s="1"/>
  <c r="E63"/>
  <c r="DV8"/>
  <c r="DU8"/>
  <c r="BA8"/>
  <c r="E76"/>
  <c r="CI98"/>
  <c r="CG98"/>
  <c r="DE21"/>
  <c r="AU21"/>
  <c r="DK21" s="1"/>
  <c r="DE14"/>
  <c r="AU14"/>
  <c r="DK14" s="1"/>
  <c r="DJ76"/>
  <c r="DJ66" s="1"/>
  <c r="CW63"/>
  <c r="AI76"/>
  <c r="DF80"/>
  <c r="CY37"/>
  <c r="DF70"/>
  <c r="BF76" i="9" l="1"/>
  <c r="BF76" i="10"/>
  <c r="BC76" i="9"/>
  <c r="DI63" i="5"/>
  <c r="DI64" s="1"/>
  <c r="DK73"/>
  <c r="DE37"/>
  <c r="DC63"/>
  <c r="DC64" s="1"/>
  <c r="BF76" i="8"/>
  <c r="DK38" i="5"/>
  <c r="DH114" i="11"/>
  <c r="DG114"/>
  <c r="DI12"/>
  <c r="DC76"/>
  <c r="DC75"/>
  <c r="DA118"/>
  <c r="DC118" s="1"/>
  <c r="DC114"/>
  <c r="AA114"/>
  <c r="CG114" s="1"/>
  <c r="Y118"/>
  <c r="P114" i="8"/>
  <c r="DJ12" i="11"/>
  <c r="DD76"/>
  <c r="DD75"/>
  <c r="DB118"/>
  <c r="DD118" s="1"/>
  <c r="DD114"/>
  <c r="Z118"/>
  <c r="AB114"/>
  <c r="CH114" s="1"/>
  <c r="BG10" i="10"/>
  <c r="Y9"/>
  <c r="BD37"/>
  <c r="W87"/>
  <c r="BA87"/>
  <c r="U77"/>
  <c r="BH114"/>
  <c r="BG38"/>
  <c r="Y37"/>
  <c r="W74"/>
  <c r="BD9"/>
  <c r="U75"/>
  <c r="U76"/>
  <c r="BG78"/>
  <c r="BG78" i="9"/>
  <c r="BD37"/>
  <c r="W87"/>
  <c r="BG38"/>
  <c r="Y37"/>
  <c r="W74"/>
  <c r="BD9"/>
  <c r="U75"/>
  <c r="U76"/>
  <c r="BE118"/>
  <c r="BF118" s="1"/>
  <c r="BH114"/>
  <c r="BH118" s="1"/>
  <c r="BA87"/>
  <c r="U77"/>
  <c r="BG10"/>
  <c r="Y9"/>
  <c r="BD37" i="8"/>
  <c r="W87"/>
  <c r="BG78"/>
  <c r="W74"/>
  <c r="BD9"/>
  <c r="BA87"/>
  <c r="U77"/>
  <c r="BG10"/>
  <c r="Y9"/>
  <c r="BE118"/>
  <c r="BF118" s="1"/>
  <c r="BH114"/>
  <c r="BG38"/>
  <c r="Y37"/>
  <c r="U75"/>
  <c r="U76"/>
  <c r="CW64" i="5"/>
  <c r="CW65"/>
  <c r="CI99"/>
  <c r="CK98"/>
  <c r="DE9"/>
  <c r="DE65" s="1"/>
  <c r="AQ8"/>
  <c r="AQ76" s="1"/>
  <c r="AN64"/>
  <c r="AN65"/>
  <c r="CJ99"/>
  <c r="CL98"/>
  <c r="AI64"/>
  <c r="AI65"/>
  <c r="CZ76"/>
  <c r="AN66"/>
  <c r="DK37"/>
  <c r="AU36"/>
  <c r="AR63"/>
  <c r="DF8"/>
  <c r="DL9"/>
  <c r="DL65" s="1"/>
  <c r="AV8"/>
  <c r="DI66"/>
  <c r="CS76"/>
  <c r="AI66"/>
  <c r="DC65"/>
  <c r="DV76"/>
  <c r="DU76"/>
  <c r="BA76"/>
  <c r="E66"/>
  <c r="E64"/>
  <c r="E65"/>
  <c r="DK10"/>
  <c r="AU9"/>
  <c r="DL37"/>
  <c r="AV36"/>
  <c r="DF36"/>
  <c r="AR76"/>
  <c r="DE36"/>
  <c r="DK67"/>
  <c r="DI65"/>
  <c r="CY76"/>
  <c r="AM66"/>
  <c r="AM63"/>
  <c r="CY8"/>
  <c r="DN114" i="11" l="1"/>
  <c r="DN118" s="1"/>
  <c r="DM114"/>
  <c r="DM118" s="1"/>
  <c r="DJ76"/>
  <c r="DJ75"/>
  <c r="AD114"/>
  <c r="AC114"/>
  <c r="Q114" i="8"/>
  <c r="AU114" s="1"/>
  <c r="DH118" i="11"/>
  <c r="DJ118" s="1"/>
  <c r="DJ114"/>
  <c r="DI76"/>
  <c r="DI75"/>
  <c r="DI114"/>
  <c r="DG118"/>
  <c r="DI118" s="1"/>
  <c r="BH118" i="8"/>
  <c r="W75" i="10"/>
  <c r="W76"/>
  <c r="BD87"/>
  <c r="W77"/>
  <c r="Y74"/>
  <c r="BG9"/>
  <c r="BG37"/>
  <c r="Y87"/>
  <c r="Y74" i="9"/>
  <c r="BG9"/>
  <c r="W75"/>
  <c r="W76"/>
  <c r="BG37"/>
  <c r="Y87"/>
  <c r="BD87"/>
  <c r="W77"/>
  <c r="BG37" i="8"/>
  <c r="Y87"/>
  <c r="Y74"/>
  <c r="BG9"/>
  <c r="W75"/>
  <c r="W76"/>
  <c r="BD87"/>
  <c r="W77"/>
  <c r="DE76" i="5"/>
  <c r="AQ66"/>
  <c r="DF76"/>
  <c r="AR66"/>
  <c r="DL36"/>
  <c r="AV76"/>
  <c r="DK9"/>
  <c r="DK65" s="1"/>
  <c r="AU8"/>
  <c r="AU76" s="1"/>
  <c r="DK36"/>
  <c r="CP98"/>
  <c r="CN98"/>
  <c r="AQ63"/>
  <c r="DE8"/>
  <c r="AM64"/>
  <c r="AM65"/>
  <c r="AV63"/>
  <c r="DL8"/>
  <c r="AR64"/>
  <c r="AR65"/>
  <c r="CM98"/>
  <c r="CO98"/>
  <c r="R114" i="8" l="1"/>
  <c r="AF114" i="11"/>
  <c r="CN114" s="1"/>
  <c r="AD118"/>
  <c r="AC118"/>
  <c r="AE114"/>
  <c r="CM114" s="1"/>
  <c r="Y75" i="10"/>
  <c r="Y76"/>
  <c r="BG87"/>
  <c r="Y77"/>
  <c r="Y75" i="9"/>
  <c r="Y76"/>
  <c r="BG87"/>
  <c r="Y77"/>
  <c r="Y75" i="8"/>
  <c r="Y76"/>
  <c r="BG87"/>
  <c r="Y77"/>
  <c r="CO99" i="5"/>
  <c r="CQ98"/>
  <c r="DK76"/>
  <c r="AU66"/>
  <c r="AU63"/>
  <c r="DK8"/>
  <c r="AV64"/>
  <c r="AV65"/>
  <c r="AQ64"/>
  <c r="AQ65"/>
  <c r="CP99"/>
  <c r="CR98"/>
  <c r="DL76"/>
  <c r="AV66"/>
  <c r="S114" i="8" l="1"/>
  <c r="AH114" i="11"/>
  <c r="AG114"/>
  <c r="AU64" i="5"/>
  <c r="AU65"/>
  <c r="CV98"/>
  <c r="CT98"/>
  <c r="CU98"/>
  <c r="CS98"/>
  <c r="AI114" i="11" l="1"/>
  <c r="CS114" s="1"/>
  <c r="AG118"/>
  <c r="T114" i="8"/>
  <c r="AX114" s="1"/>
  <c r="AH118" i="11"/>
  <c r="AJ114"/>
  <c r="CT114" s="1"/>
  <c r="CU99" i="5"/>
  <c r="CW98"/>
  <c r="CV99"/>
  <c r="CX98"/>
  <c r="AL114" i="11" l="1"/>
  <c r="AK114"/>
  <c r="U114" i="8"/>
  <c r="DB98" i="5"/>
  <c r="CZ98"/>
  <c r="CY98"/>
  <c r="DA98"/>
  <c r="V114" i="8" l="1"/>
  <c r="AN114" i="11"/>
  <c r="CZ114" s="1"/>
  <c r="AL118"/>
  <c r="AK118"/>
  <c r="AM114"/>
  <c r="CY114" s="1"/>
  <c r="DB99" i="5"/>
  <c r="DD98"/>
  <c r="DA99"/>
  <c r="DC98"/>
  <c r="W114" i="8" l="1"/>
  <c r="BA114" s="1"/>
  <c r="AP114" i="11"/>
  <c r="AO114"/>
  <c r="DG98" i="5"/>
  <c r="DE98"/>
  <c r="DH98"/>
  <c r="DF98"/>
  <c r="AQ114" i="11" l="1"/>
  <c r="DE114" s="1"/>
  <c r="AO118"/>
  <c r="X114" i="8"/>
  <c r="AP118" i="11"/>
  <c r="AR114"/>
  <c r="DF114" s="1"/>
  <c r="DH99" i="5"/>
  <c r="DJ98"/>
  <c r="DG99"/>
  <c r="DI98"/>
  <c r="Y114" i="8" l="1"/>
  <c r="AT114" i="11"/>
  <c r="AS114"/>
  <c r="DM98" i="5"/>
  <c r="DM99" s="1"/>
  <c r="DK98"/>
  <c r="DN98"/>
  <c r="DN99" s="1"/>
  <c r="DL98"/>
  <c r="AS118" i="11" l="1"/>
  <c r="AU114"/>
  <c r="DK114" s="1"/>
  <c r="Z114" i="8"/>
  <c r="BD114" s="1"/>
  <c r="AV114" i="11"/>
  <c r="DL114" s="1"/>
  <c r="AT118"/>
  <c r="AX114" l="1"/>
  <c r="AX118" s="1"/>
  <c r="AW114"/>
  <c r="AW118" s="1"/>
</calcChain>
</file>

<file path=xl/sharedStrings.xml><?xml version="1.0" encoding="utf-8"?>
<sst xmlns="http://schemas.openxmlformats.org/spreadsheetml/2006/main" count="3551" uniqueCount="194">
  <si>
    <t xml:space="preserve">Прогноз ожидаемого исполнения бюджета Сортавальского муниципального района </t>
  </si>
  <si>
    <t xml:space="preserve">на 2016 год </t>
  </si>
  <si>
    <t>(тыс. руб.)</t>
  </si>
  <si>
    <t>Наименование</t>
  </si>
  <si>
    <t>2014 год</t>
  </si>
  <si>
    <r>
      <t xml:space="preserve">2015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</si>
  <si>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2016 год </t>
    </r>
    <r>
      <rPr>
        <i/>
        <sz val="13"/>
        <rFont val="Times New Roman Cyr"/>
        <charset val="204"/>
      </rPr>
      <t>(текущий финансовый год)</t>
    </r>
  </si>
  <si>
    <t>Исполнено за 2015 год</t>
  </si>
  <si>
    <t>в том числе:</t>
  </si>
  <si>
    <t>Утверждено на 2016 год</t>
  </si>
  <si>
    <r>
      <t xml:space="preserve">Исполнено, в том числе помесячно </t>
    </r>
    <r>
      <rPr>
        <sz val="10"/>
        <rFont val="Times New Roman Cyr"/>
        <charset val="204"/>
      </rPr>
      <t xml:space="preserve">: </t>
    </r>
  </si>
  <si>
    <t>январь</t>
  </si>
  <si>
    <t>февраль</t>
  </si>
  <si>
    <t>март</t>
  </si>
  <si>
    <t>на 01.04.</t>
  </si>
  <si>
    <t>апрель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</si>
  <si>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</si>
  <si>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</si>
  <si>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</si>
  <si>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</si>
  <si>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</si>
  <si>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</si>
  <si>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</si>
  <si>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</si>
  <si>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 т.ч. бюджет района</t>
  </si>
  <si>
    <t xml:space="preserve">в т.ч. бюджет района </t>
  </si>
  <si>
    <t>консолиди-                       рованный бюджет района</t>
  </si>
  <si>
    <t>консолидированный бюджет района</t>
  </si>
  <si>
    <t xml:space="preserve">консолидированный бюджет района </t>
  </si>
  <si>
    <t>I. ДОХОДЫ - всего,  в т.ч.:</t>
  </si>
  <si>
    <t>1. Налоговые и неналоговые доходы , в т.ч.:</t>
  </si>
  <si>
    <t>- налог на доходы физических лиц</t>
  </si>
  <si>
    <t>- единый налог на вмененный доход</t>
  </si>
  <si>
    <t>- налог на имущество физических лиц</t>
  </si>
  <si>
    <t>-</t>
  </si>
  <si>
    <t>- земельный налог</t>
  </si>
  <si>
    <t>- налог, взим. в связи с примен.патентн. системы</t>
  </si>
  <si>
    <t>- госпошлина</t>
  </si>
  <si>
    <t>- акцизы на нефтепродукты</t>
  </si>
  <si>
    <t>- доходы от использования имущества</t>
  </si>
  <si>
    <t>- плата за негат.возд.на окр.среду</t>
  </si>
  <si>
    <t>- доходы от оказания платных услуг</t>
  </si>
  <si>
    <t>- штрафы, санкции, возмещение ущерба</t>
  </si>
  <si>
    <t>- прочие неналоговые доходы</t>
  </si>
  <si>
    <t>2. Безвозмездные поступления, в т.ч.:</t>
  </si>
  <si>
    <t>2.2. Субвенции, из них:</t>
  </si>
  <si>
    <t>2.3. Субсидии, из них:</t>
  </si>
  <si>
    <t>2.4. Иные межбюджетные трансферты</t>
  </si>
  <si>
    <t>2.5. Прочие безвозмездные поступления</t>
  </si>
  <si>
    <t>II. РАСХОДЫ -  всего, в т.ч.:</t>
  </si>
  <si>
    <t xml:space="preserve">III. ПРОФИЦИТ "+", ДЕФИЦИТ "-" </t>
  </si>
  <si>
    <t>x</t>
  </si>
  <si>
    <t>в процентах (%)</t>
  </si>
  <si>
    <t>IV. ИСТОЧНИКИ ФИНАНСИРОВАНИЯ ДЕФИЦИТА БЮДЖЕТА</t>
  </si>
  <si>
    <t>- бюджетные кредиты от других бюджетов</t>
  </si>
  <si>
    <t>получение (со знаком "+")</t>
  </si>
  <si>
    <t>погашение (со знаком "-")</t>
  </si>
  <si>
    <t>- кредиты кредитных организаций</t>
  </si>
  <si>
    <t xml:space="preserve">-прочие </t>
  </si>
  <si>
    <t>возврат, получение (со знаком "+")</t>
  </si>
  <si>
    <t>предоставление, погашение (со знаком "-")</t>
  </si>
  <si>
    <t>-изменение остатков средств</t>
  </si>
  <si>
    <t>V. Недостаток средств на фииансовое обеспечение расходов (с учетом источников финансирования дефицита бюджета)</t>
  </si>
  <si>
    <t>СПРАВОЧНО:</t>
  </si>
  <si>
    <t>1. Доходы, в т.ч.:</t>
  </si>
  <si>
    <t>- иные доходы, в.т.ч.:</t>
  </si>
  <si>
    <t>( разрезе доходных источников):</t>
  </si>
  <si>
    <t xml:space="preserve">- </t>
  </si>
  <si>
    <t xml:space="preserve">2. Расходы, в.тч.: </t>
  </si>
  <si>
    <t>на 01.02.</t>
  </si>
  <si>
    <t>на 01.03.</t>
  </si>
  <si>
    <t>на 1 января  очередного финансового года</t>
  </si>
  <si>
    <t xml:space="preserve"> II. МУНИЦИПАЛЬНЫЙ ДОЛГ</t>
  </si>
  <si>
    <t>в процентах (%) (соблюдение п.3 ст.107 БК РФ)</t>
  </si>
  <si>
    <t xml:space="preserve"> III. ПРОСРОЧЕННАЯ  КРЕДИТОРСКАЯ ЗАДОЛЖЕННОСТЬ  (по КУ), всего, в т.ч.: </t>
  </si>
  <si>
    <t xml:space="preserve">1. По оплате труда </t>
  </si>
  <si>
    <t>2. По начислениям на оплату труда</t>
  </si>
  <si>
    <t xml:space="preserve"> IV. ПРОСРОЧЕННАЯ  КРЕДИТОРСКАЯ ЗАДОЛЖЕННОСТЬ  (по АУ+БУ), всего, в т.ч.: </t>
  </si>
  <si>
    <t>- целевые</t>
  </si>
  <si>
    <t xml:space="preserve"> VI. ОСТАТКИ СРЕДСТВ НА СЧЕТАХ  АУ и БУ</t>
  </si>
  <si>
    <t xml:space="preserve">- единый сельскохозяйственный налог </t>
  </si>
  <si>
    <t>на 01.05.</t>
  </si>
  <si>
    <t>на 01.06.</t>
  </si>
  <si>
    <t>на 01.07.</t>
  </si>
  <si>
    <t>на 01.08.</t>
  </si>
  <si>
    <t>на 01.09.</t>
  </si>
  <si>
    <t>на 01.10.</t>
  </si>
  <si>
    <t>на 01.11.</t>
  </si>
  <si>
    <t>на 01.12.</t>
  </si>
  <si>
    <t>- доходы от реализации имущества</t>
  </si>
  <si>
    <t>- доходы от продажи земельных участков</t>
  </si>
  <si>
    <t>- на выравнивание поселений</t>
  </si>
  <si>
    <t>- на сбалансированность бюджета</t>
  </si>
  <si>
    <t>2.6. Возврат остатков целевых МБТ</t>
  </si>
  <si>
    <t>2.1. Дотации на выравнивание</t>
  </si>
  <si>
    <t>1.3. работников АУ и БУ</t>
  </si>
  <si>
    <t>Темп роста (снижения) к исполнено за отчетный год, %</t>
  </si>
  <si>
    <t xml:space="preserve">2. Дотация бюджетам поселений </t>
  </si>
  <si>
    <r>
      <t xml:space="preserve">1.4. персоналу мун.органов </t>
    </r>
    <r>
      <rPr>
        <sz val="10"/>
        <rFont val="Times New Roman Cyr"/>
        <charset val="204"/>
      </rPr>
      <t>КВР (121 и 129)</t>
    </r>
  </si>
  <si>
    <r>
      <t xml:space="preserve">1.2. работников КУ </t>
    </r>
    <r>
      <rPr>
        <sz val="10"/>
        <rFont val="Times New Roman Cyr"/>
        <charset val="204"/>
      </rPr>
      <t>(КВР 111+119)</t>
    </r>
  </si>
  <si>
    <t xml:space="preserve">1. ФОТ с начислениями (КУ, АУ, БУ), в т.ч.: </t>
  </si>
  <si>
    <r>
      <t xml:space="preserve">3. Расходы за счет субвенций </t>
    </r>
    <r>
      <rPr>
        <b/>
        <i/>
        <sz val="10"/>
        <rFont val="Times New Roman Cyr"/>
        <charset val="204"/>
      </rPr>
      <t xml:space="preserve">(за искл. Стр.1.1.) </t>
    </r>
  </si>
  <si>
    <t xml:space="preserve">4. Расходы за счет субсидий и иных МБТ </t>
  </si>
  <si>
    <t>5. Дорожный фонд</t>
  </si>
  <si>
    <t xml:space="preserve">                   коммунальные услуги</t>
  </si>
  <si>
    <t>1.1. за счет субвенций и иных МБТ</t>
  </si>
  <si>
    <t xml:space="preserve">6. Другие расходы (за искл. п.1-5), в т.ч. : </t>
  </si>
  <si>
    <t xml:space="preserve">                   содержание имущества</t>
  </si>
  <si>
    <t>6.2. Материальные затраты, в том числе:</t>
  </si>
  <si>
    <r>
      <t xml:space="preserve">6.4. Кап. вложения в объекты мун.соб-ти </t>
    </r>
    <r>
      <rPr>
        <sz val="10"/>
        <rFont val="Times New Roman"/>
        <family val="1"/>
        <charset val="204"/>
      </rPr>
      <t>(КВР 400)</t>
    </r>
  </si>
  <si>
    <r>
      <t xml:space="preserve">- в целях кап.ремонта мун-го имущества </t>
    </r>
    <r>
      <rPr>
        <sz val="10"/>
        <rFont val="Times New Roman Cyr"/>
        <charset val="204"/>
      </rPr>
      <t>(КВР 243)</t>
    </r>
    <r>
      <rPr>
        <sz val="13"/>
        <rFont val="Times New Roman Cyr"/>
        <charset val="204"/>
      </rPr>
      <t xml:space="preserve">
</t>
    </r>
  </si>
  <si>
    <r>
      <t xml:space="preserve">- в сфере информ.-коммуник.технологий </t>
    </r>
    <r>
      <rPr>
        <sz val="10"/>
        <rFont val="Times New Roman Cyr"/>
        <charset val="204"/>
      </rPr>
      <t>(КВР 242)</t>
    </r>
  </si>
  <si>
    <t>- прочие закупки (КВР 244), из них:</t>
  </si>
  <si>
    <t>Исполнено за 2014 год</t>
  </si>
  <si>
    <t>безвозмездные поступления (субсидии)</t>
  </si>
  <si>
    <t>на 01.01.2015 года</t>
  </si>
  <si>
    <t>на 01.01.2016 года</t>
  </si>
  <si>
    <t>Ожидаемая оценка на __________</t>
  </si>
  <si>
    <t>- на осущ. части полномочий по решению вопросов местного значения в соответствии с заключенными соглашениями</t>
  </si>
  <si>
    <r>
      <t xml:space="preserve">6.5. Обслуживание муниципального долга </t>
    </r>
    <r>
      <rPr>
        <sz val="10"/>
        <rFont val="Times New Roman Cyr"/>
        <charset val="204"/>
      </rPr>
      <t>(КВР 730)</t>
    </r>
  </si>
  <si>
    <r>
      <t xml:space="preserve">6.6. Субсидии юрид. лицам </t>
    </r>
    <r>
      <rPr>
        <sz val="10"/>
        <rFont val="Times New Roman Cyr"/>
        <charset val="204"/>
      </rPr>
      <t>(КВР 810)</t>
    </r>
  </si>
  <si>
    <r>
      <t xml:space="preserve">6.7. Исполнение судебных актов </t>
    </r>
    <r>
      <rPr>
        <sz val="10"/>
        <rFont val="Times New Roman Cyr"/>
        <charset val="204"/>
      </rPr>
      <t>(КВР 830)</t>
    </r>
  </si>
  <si>
    <r>
      <t xml:space="preserve">6.8.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</si>
  <si>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6.9. Субсидии АУ,БУ </t>
    </r>
    <r>
      <rPr>
        <sz val="10"/>
        <rFont val="Times New Roman Cyr"/>
        <charset val="204"/>
      </rPr>
      <t>(КВР 600 за искл.строк 1-6.8.)</t>
    </r>
  </si>
  <si>
    <r>
      <t>6.10. Прочие расходы</t>
    </r>
    <r>
      <rPr>
        <sz val="10"/>
        <rFont val="Times New Roman Cyr"/>
        <charset val="204"/>
      </rPr>
      <t xml:space="preserve"> (за искл.стр.6.1-6.9.), из них</t>
    </r>
  </si>
  <si>
    <t xml:space="preserve"> Оценка ОМСУ на текущий год</t>
  </si>
  <si>
    <t>Темп роста (снижения) к утверждено на текущий год, %</t>
  </si>
  <si>
    <t>% дефицита за минусом допустимого превышения по БК</t>
  </si>
  <si>
    <t>1</t>
  </si>
  <si>
    <t xml:space="preserve">3. По оплате коммунальных услуг </t>
  </si>
  <si>
    <t xml:space="preserve">                           в т.ч. по доп. нyормативу % - </t>
  </si>
  <si>
    <r>
      <t>6.3. Социальное обеспечение и иные выплаты</t>
    </r>
    <r>
      <rPr>
        <sz val="10"/>
        <rFont val="Times New Roman Cyr"/>
        <charset val="204"/>
      </rPr>
      <t xml:space="preserve"> (КВР 300)</t>
    </r>
  </si>
  <si>
    <t>6.1. Софин.мероприятий, субсидир-х из бюджета РК</t>
  </si>
  <si>
    <r>
      <t xml:space="preserve">осущ. части полномочий по согл-м </t>
    </r>
    <r>
      <rPr>
        <sz val="10"/>
        <rFont val="Times New Roman Cyr"/>
        <charset val="204"/>
      </rPr>
      <t>(за счет иных МБТ)</t>
    </r>
  </si>
  <si>
    <t xml:space="preserve"> VII. НЕДОИМКА</t>
  </si>
  <si>
    <t xml:space="preserve">  V. ОСТАТКИ СРЕДСТВ НА СЧЕТЕ МЕСТНОГО БЮДЖЕТА, всего , в т.ч.:</t>
  </si>
  <si>
    <t xml:space="preserve"> I. МУНИЦИПАЛЬНЫЙ ДОРОЖНЫЙ ФОНД</t>
  </si>
  <si>
    <t>01.05.</t>
  </si>
  <si>
    <t>на  01.06.</t>
  </si>
  <si>
    <t>на 01.01.</t>
  </si>
  <si>
    <t>(в разрезе кодов КВР):</t>
  </si>
  <si>
    <t>май</t>
  </si>
  <si>
    <t>2.4. Иные межбюджетные трансферты, из них:</t>
  </si>
  <si>
    <t>- безвозмездные поступления (субсидии)</t>
  </si>
  <si>
    <t xml:space="preserve">получение </t>
  </si>
  <si>
    <t xml:space="preserve">погашение </t>
  </si>
  <si>
    <t>погашение</t>
  </si>
  <si>
    <t xml:space="preserve">возврат, получение </t>
  </si>
  <si>
    <t xml:space="preserve">предоставление, погашение </t>
  </si>
  <si>
    <t>Исполнено за год</t>
  </si>
  <si>
    <t>Утверждено на год</t>
  </si>
  <si>
    <t>Рост (снижение) к началу отчетного года (тыс.рублей)</t>
  </si>
  <si>
    <t>Рост (снижение) к началу текущего года (тыс.рублей)</t>
  </si>
  <si>
    <t xml:space="preserve"> II. МУНИЦИПАЛЬНЫЙ ДОЛГ, в том числе:</t>
  </si>
  <si>
    <t>по бюджетным кредитам</t>
  </si>
  <si>
    <t>по кредитам коммерческих организаций</t>
  </si>
  <si>
    <t>по муниципальным гарантиям</t>
  </si>
  <si>
    <t>Прогноз ожидаемого исполнения бюджета _____________________________ поселения</t>
  </si>
  <si>
    <t xml:space="preserve">ДАННАЯ ФОРМА ЗАПОЛНЯЕТСЯ ДОПОЛНИТЕЛЬНО В СЛУЧАЕ ПРИВЛЕЧЕНИЯ БЮДЖЕТНОГО КРЕДИТА ДЛЯ ПОСЕЛЕНИЯ. Удалять сроки и столбцы нельзя. На бумажном носителе высылается только форма по консолидированному бюджету. </t>
  </si>
  <si>
    <t>ЗАПОЛНЯЕТСЯ ОТДЕЛЬНО ЛИСТЫ ПО РАЙОНУ И ПОСЕЛЕНИЯМ. Удалять сроки и столбцы нельзя. ЗАПОЛНЯЮТСЯ ВСЕ ЯЧЕЙКИ. Если показатель отсутствует, то ставить "0". Данные должны соответствовать отчетности об исполнении бюджета. На бумажном носителе высылается только форма по консолидированному бюджету. В случае привлечения бюджетного кредита для поселения, дополнительно заполняется лист "кредит для поселения"</t>
  </si>
  <si>
    <t xml:space="preserve"> IV. ПРОСРОЧЕННАЯ  КРЕДИТОРСКАЯ ЗАДОЛЖЕННОСТЬ  (по КУ), всего, в т.ч.: </t>
  </si>
  <si>
    <t xml:space="preserve">V. ПРОСРОЧЕННАЯ  КРЕДИТОРСКАЯ ЗАДОЛЖЕННОСТЬ  (по АУ+БУ), всего, в т.ч.: </t>
  </si>
  <si>
    <t>IV. ОСТАТКИ СРЕДСТВ НА СЧЕТЕ МЕСТНОГО БЮДЖЕТА, всего , в т.ч.:</t>
  </si>
  <si>
    <t xml:space="preserve"> VII. ОСТАТКИ СРЕДСТВ НА СЧЕТАХ  АУ и БУ</t>
  </si>
  <si>
    <t xml:space="preserve"> VIII. НЕДОИМКА</t>
  </si>
  <si>
    <r>
      <t>III. ПРЕДЕЛЬНЫЙ ОБЪЕМ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</si>
  <si>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                           в т.ч. по доп. нормативу % - </t>
  </si>
  <si>
    <t>V. Недостаток средств на финансовое обеспечение расходов (с учетом источников финансирования дефицита бюджета)</t>
  </si>
  <si>
    <t xml:space="preserve">Прогноз ожидаемого исполнения бюджета ________________________ муниципального района </t>
  </si>
  <si>
    <r>
      <t xml:space="preserve">20___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</si>
  <si>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20___ год </t>
    </r>
    <r>
      <rPr>
        <i/>
        <sz val="13"/>
        <rFont val="Times New Roman Cyr"/>
        <charset val="204"/>
      </rPr>
      <t>(текущий финансовый год)</t>
    </r>
  </si>
  <si>
    <t xml:space="preserve">Прогноз ожидаемого исполнения бюджетов поселений, входящих в состав ____________________ муниципального района </t>
  </si>
  <si>
    <t>ОБЩЕГОСУДАРСТВЕННЫЕ ВОПРОСЫ (0100)</t>
  </si>
  <si>
    <t>НАЦИОНАЛЬНАЯ ОБОРОНА (0200)</t>
  </si>
  <si>
    <t>НАЦИОНАЛЬНАЯ ЭКОНОМИКА (0400)</t>
  </si>
  <si>
    <t>ЖИЛИЩНО-КОММУНАЛЬНОЕ ХОЗЯЙСТВО (0500)</t>
  </si>
  <si>
    <t>ОБРАЗОВАНИЕ (0700)</t>
  </si>
  <si>
    <t>КУЛЬТУРА, КИНЕМАТОГРАФИЯ (0800)</t>
  </si>
  <si>
    <t>СОЦИАЛЬНАЯ ПОЛИТИКА (1000)</t>
  </si>
  <si>
    <t>ФИЗИЧЕСКАЯ КУЛЬТУРА И СПОРТ (1100)</t>
  </si>
  <si>
    <t>СРЕДСТВА МАССОВОЙ ИНФОРМАЦИИ (1200)</t>
  </si>
  <si>
    <t>ОБСЛУЖИВАНИЕ ГОСУДАРСТВЕННОГО (МУНИЦИПАЛЬНОГО) ДОЛГА (1300)</t>
  </si>
  <si>
    <t>МЕЖБЮДЖЕТНЫЕ ТРАНСФЕРТЫ ОБЩЕГО ХАРАКТЕРА БЮДЖЕТАМ БЮДЖЕТНОЙ СИСТЕМЫ РОССИЙСКОЙ ФЕДЕРАЦИИ (1400)</t>
  </si>
  <si>
    <t>НАЦИОНАЛЬНАЯ БЕЗОПАСНОСТЬ И ПРАВООХРАНИТЕЛЬНАЯ ДЕЯТЕЛЬНОСТЬ (0300)</t>
  </si>
  <si>
    <t>(тыс. рублей)</t>
  </si>
  <si>
    <t xml:space="preserve"> бюджет района</t>
  </si>
  <si>
    <t>Наименование (раздел,подраздел)</t>
  </si>
  <si>
    <t>% выполнения к утверждено на текущий год, %</t>
  </si>
  <si>
    <t>РАСХОДЫ -  всего, в т.ч.:</t>
  </si>
  <si>
    <t>ОХРАНА ОКРУЖАЮЩЕЙ СРЕДЫ (0600)</t>
  </si>
  <si>
    <t>Сведения об исполнении бюджета Пудожского муниципального района за 9 месяцев 2025 года по расходам в разрезе разделов и подразделов классификации расходов в сравнении с запланированными значениями на 2025 год</t>
  </si>
  <si>
    <t>Утверждено на 2025 год</t>
  </si>
  <si>
    <t>2025 год</t>
  </si>
  <si>
    <t>исполнено на 01.10.25     (на отчетную дату)</t>
  </si>
</sst>
</file>

<file path=xl/styles.xml><?xml version="1.0" encoding="utf-8"?>
<styleSheet xmlns="http://schemas.openxmlformats.org/spreadsheetml/2006/main">
  <numFmts count="1">
    <numFmt numFmtId="164" formatCode="#,##0_ ;[Red]\-#,##0\ "/>
  </numFmts>
  <fonts count="55">
    <font>
      <sz val="10"/>
      <name val="Times New Roman Cyr"/>
    </font>
    <font>
      <sz val="11"/>
      <color theme="1"/>
      <name val="Calibri"/>
      <family val="2"/>
      <charset val="204"/>
      <scheme val="minor"/>
    </font>
    <font>
      <b/>
      <u/>
      <sz val="13"/>
      <name val="Times New Roman Cyr"/>
      <charset val="204"/>
    </font>
    <font>
      <sz val="11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3"/>
      <name val="Times New Roman Cyr"/>
      <charset val="204"/>
    </font>
    <font>
      <i/>
      <sz val="13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3"/>
      <name val="Times New Roman Cyr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charset val="204"/>
    </font>
    <font>
      <b/>
      <sz val="13"/>
      <name val="Times New Roman Greek"/>
      <charset val="204"/>
    </font>
    <font>
      <b/>
      <i/>
      <sz val="13"/>
      <name val="Times New Roman Greek"/>
      <charset val="204"/>
    </font>
    <font>
      <b/>
      <i/>
      <sz val="11"/>
      <name val="Times New Roman Cyr"/>
      <family val="1"/>
      <charset val="204"/>
    </font>
    <font>
      <sz val="13"/>
      <name val="Times New Roman Greek"/>
      <charset val="204"/>
    </font>
    <font>
      <sz val="13"/>
      <name val="Times New Roman"/>
      <family val="1"/>
      <charset val="204"/>
    </font>
    <font>
      <sz val="13"/>
      <name val="Times New Roman Cyr"/>
    </font>
    <font>
      <sz val="11"/>
      <name val="Times New Roman Cyr"/>
    </font>
    <font>
      <b/>
      <sz val="11"/>
      <name val="Times New Roman Cyr"/>
    </font>
    <font>
      <b/>
      <i/>
      <sz val="13"/>
      <name val="Times New Roman Cyr"/>
      <charset val="204"/>
    </font>
    <font>
      <b/>
      <i/>
      <sz val="11"/>
      <name val="Times New Roman Cyr"/>
      <charset val="204"/>
    </font>
    <font>
      <sz val="8"/>
      <color theme="1"/>
      <name val="Calibri"/>
      <family val="2"/>
      <charset val="204"/>
      <scheme val="minor"/>
    </font>
    <font>
      <b/>
      <i/>
      <u/>
      <sz val="16"/>
      <name val="Times New Roman Cyr"/>
      <charset val="204"/>
    </font>
    <font>
      <b/>
      <sz val="13"/>
      <name val="Times New Roman Cyr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Times New Roman"/>
      <family val="1"/>
      <charset val="204"/>
    </font>
    <font>
      <b/>
      <i/>
      <sz val="10"/>
      <name val="Times New Roman Cyr"/>
      <charset val="204"/>
    </font>
    <font>
      <b/>
      <i/>
      <sz val="11"/>
      <name val="Times New Roman Cyr"/>
    </font>
    <font>
      <b/>
      <sz val="14"/>
      <name val="Times New Roman Cyr"/>
      <charset val="204"/>
    </font>
    <font>
      <sz val="9.5"/>
      <name val="Times New Roman Cyr"/>
      <charset val="204"/>
    </font>
    <font>
      <sz val="9"/>
      <name val="Times New Roman Cyr"/>
      <family val="1"/>
      <charset val="204"/>
    </font>
    <font>
      <u/>
      <sz val="13"/>
      <name val="Times New Roman Cyr"/>
      <charset val="204"/>
    </font>
    <font>
      <b/>
      <sz val="10"/>
      <name val="Times New Roman Cyr"/>
      <charset val="204"/>
    </font>
    <font>
      <b/>
      <sz val="13"/>
      <color rgb="FFFF0000"/>
      <name val="Times New Roman Greek"/>
      <charset val="204"/>
    </font>
    <font>
      <b/>
      <sz val="12"/>
      <name val="Times New Roman Cyr"/>
      <charset val="204"/>
    </font>
    <font>
      <i/>
      <sz val="12"/>
      <name val="Times New Roman Cyr"/>
      <charset val="204"/>
    </font>
    <font>
      <b/>
      <sz val="16"/>
      <name val="Times New Roman Cyr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9" fillId="0" borderId="0"/>
    <xf numFmtId="0" fontId="30" fillId="4" borderId="0" applyNumberFormat="0" applyBorder="0" applyAlignment="0" applyProtection="0"/>
    <xf numFmtId="0" fontId="31" fillId="0" borderId="10" applyNumberFormat="0" applyFill="0" applyAlignment="0" applyProtection="0"/>
    <xf numFmtId="0" fontId="32" fillId="5" borderId="11" applyNumberFormat="0" applyAlignment="0" applyProtection="0"/>
    <xf numFmtId="0" fontId="33" fillId="6" borderId="12" applyNumberFormat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9" fillId="9" borderId="14" applyNumberFormat="0" applyFont="0" applyAlignment="0" applyProtection="0"/>
    <xf numFmtId="0" fontId="41" fillId="10" borderId="0" applyNumberFormat="0" applyBorder="0" applyAlignment="0" applyProtection="0"/>
    <xf numFmtId="0" fontId="42" fillId="11" borderId="15" applyNumberFormat="0" applyAlignment="0" applyProtection="0"/>
  </cellStyleXfs>
  <cellXfs count="361">
    <xf numFmtId="0" fontId="0" fillId="0" borderId="0" xfId="0"/>
    <xf numFmtId="3" fontId="3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Protection="1">
      <protection locked="0"/>
    </xf>
    <xf numFmtId="3" fontId="3" fillId="2" borderId="0" xfId="0" applyNumberFormat="1" applyFont="1" applyFill="1" applyProtection="1">
      <protection locked="0"/>
    </xf>
    <xf numFmtId="3" fontId="4" fillId="2" borderId="0" xfId="0" applyNumberFormat="1" applyFont="1" applyFill="1" applyAlignment="1" applyProtection="1">
      <alignment horizontal="center" vertical="top" wrapText="1"/>
      <protection locked="0"/>
    </xf>
    <xf numFmtId="3" fontId="4" fillId="2" borderId="0" xfId="0" applyNumberFormat="1" applyFont="1" applyFill="1" applyAlignment="1" applyProtection="1">
      <alignment horizontal="center" wrapText="1"/>
      <protection locked="0"/>
    </xf>
    <xf numFmtId="3" fontId="4" fillId="2" borderId="0" xfId="0" applyNumberFormat="1" applyFont="1" applyFill="1" applyProtection="1">
      <protection locked="0"/>
    </xf>
    <xf numFmtId="3" fontId="4" fillId="2" borderId="0" xfId="0" applyNumberFormat="1" applyFont="1" applyFill="1" applyBorder="1" applyAlignment="1" applyProtection="1">
      <protection locked="0"/>
    </xf>
    <xf numFmtId="3" fontId="3" fillId="0" borderId="0" xfId="0" applyNumberFormat="1" applyFont="1" applyFill="1" applyProtection="1">
      <protection locked="0"/>
    </xf>
    <xf numFmtId="3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hidden="1"/>
    </xf>
    <xf numFmtId="3" fontId="14" fillId="2" borderId="0" xfId="0" applyNumberFormat="1" applyFont="1" applyFill="1" applyProtection="1">
      <protection locked="0"/>
    </xf>
    <xf numFmtId="3" fontId="12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2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3" fontId="14" fillId="0" borderId="0" xfId="0" applyNumberFormat="1" applyFont="1" applyFill="1" applyBorder="1" applyProtection="1">
      <protection locked="0"/>
    </xf>
    <xf numFmtId="3" fontId="14" fillId="2" borderId="0" xfId="0" applyNumberFormat="1" applyFont="1" applyFill="1" applyBorder="1" applyProtection="1"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3" borderId="0" xfId="0" applyNumberFormat="1" applyFont="1" applyFill="1" applyAlignment="1" applyProtection="1">
      <alignment vertical="center"/>
      <protection locked="0"/>
    </xf>
    <xf numFmtId="9" fontId="5" fillId="3" borderId="3" xfId="1" applyFont="1" applyFill="1" applyBorder="1" applyAlignment="1" applyProtection="1">
      <alignment horizontal="center" vertical="center" wrapText="1"/>
      <protection locked="0"/>
    </xf>
    <xf numFmtId="9" fontId="16" fillId="3" borderId="3" xfId="1" applyFont="1" applyFill="1" applyBorder="1" applyAlignment="1" applyProtection="1">
      <alignment horizontal="center" vertical="center" wrapText="1"/>
      <protection locked="0"/>
    </xf>
    <xf numFmtId="3" fontId="9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15" fillId="3" borderId="0" xfId="0" applyNumberFormat="1" applyFont="1" applyFill="1" applyBorder="1" applyAlignment="1" applyProtection="1">
      <alignment vertical="center"/>
      <protection locked="0"/>
    </xf>
    <xf numFmtId="3" fontId="1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9" fillId="2" borderId="3" xfId="1" applyFont="1" applyFill="1" applyBorder="1" applyAlignment="1" applyProtection="1">
      <alignment horizontal="center" vertical="center" wrapText="1"/>
      <protection locked="0"/>
    </xf>
    <xf numFmtId="3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3" xfId="1" applyFont="1" applyFill="1" applyBorder="1" applyAlignment="1" applyProtection="1">
      <alignment horizontal="center" vertical="center" wrapText="1"/>
      <protection locked="0"/>
    </xf>
    <xf numFmtId="3" fontId="5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3" xfId="0" applyNumberFormat="1" applyFont="1" applyFill="1" applyBorder="1" applyAlignment="1" applyProtection="1">
      <alignment horizontal="center" vertical="center"/>
      <protection locked="0"/>
    </xf>
    <xf numFmtId="164" fontId="21" fillId="2" borderId="3" xfId="0" applyNumberFormat="1" applyFont="1" applyFill="1" applyBorder="1" applyAlignment="1" applyProtection="1">
      <alignment horizontal="center" vertical="center"/>
      <protection locked="0"/>
    </xf>
    <xf numFmtId="3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4" xfId="0" applyNumberFormat="1" applyFont="1" applyFill="1" applyBorder="1" applyAlignment="1" applyProtection="1">
      <alignment vertical="center"/>
      <protection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2" fillId="2" borderId="0" xfId="0" applyNumberFormat="1" applyFont="1" applyFill="1" applyBorder="1" applyAlignment="1" applyProtection="1">
      <alignment vertical="top" wrapText="1"/>
      <protection locked="0"/>
    </xf>
    <xf numFmtId="3" fontId="22" fillId="2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Alignment="1" applyProtection="1">
      <alignment vertical="top" wrapText="1"/>
      <protection locked="0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Alignment="1" applyProtection="1">
      <alignment vertical="top" wrapText="1"/>
      <protection locked="0"/>
    </xf>
    <xf numFmtId="3" fontId="3" fillId="2" borderId="0" xfId="0" applyNumberFormat="1" applyFont="1" applyFill="1" applyAlignment="1" applyProtection="1">
      <alignment horizontal="center" vertical="top"/>
      <protection locked="0"/>
    </xf>
    <xf numFmtId="3" fontId="2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5" fillId="2" borderId="3" xfId="1" applyFont="1" applyFill="1" applyBorder="1" applyAlignment="1" applyProtection="1">
      <alignment horizontal="center" vertical="center" wrapText="1"/>
      <protection locked="0"/>
    </xf>
    <xf numFmtId="9" fontId="9" fillId="2" borderId="3" xfId="1" applyFont="1" applyFill="1" applyBorder="1" applyAlignment="1" applyProtection="1">
      <alignment horizontal="center" vertical="center" wrapText="1"/>
      <protection locked="0"/>
    </xf>
    <xf numFmtId="9" fontId="24" fillId="2" borderId="3" xfId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8" fillId="2" borderId="0" xfId="0" applyNumberFormat="1" applyFont="1" applyFill="1" applyBorder="1" applyAlignment="1" applyProtection="1">
      <alignment vertical="center"/>
      <protection locked="0"/>
    </xf>
    <xf numFmtId="3" fontId="18" fillId="2" borderId="0" xfId="0" applyNumberFormat="1" applyFont="1" applyFill="1" applyAlignment="1" applyProtection="1">
      <alignment vertical="center"/>
      <protection locked="0"/>
    </xf>
    <xf numFmtId="3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Alignment="1" applyProtection="1">
      <alignment vertical="center"/>
      <protection locked="0"/>
    </xf>
    <xf numFmtId="3" fontId="7" fillId="2" borderId="0" xfId="0" applyNumberFormat="1" applyFont="1" applyFill="1" applyBorder="1" applyAlignment="1" applyProtection="1">
      <alignment vertical="center"/>
      <protection locked="0"/>
    </xf>
    <xf numFmtId="3" fontId="7" fillId="2" borderId="0" xfId="0" applyNumberFormat="1" applyFont="1" applyFill="1" applyAlignment="1" applyProtection="1">
      <alignment vertical="center"/>
      <protection locked="0"/>
    </xf>
    <xf numFmtId="3" fontId="22" fillId="2" borderId="0" xfId="0" applyNumberFormat="1" applyFont="1" applyFill="1" applyBorder="1" applyAlignment="1" applyProtection="1">
      <alignment vertical="center"/>
      <protection locked="0"/>
    </xf>
    <xf numFmtId="3" fontId="22" fillId="2" borderId="0" xfId="0" applyNumberFormat="1" applyFont="1" applyFill="1" applyAlignment="1" applyProtection="1">
      <alignment vertical="center"/>
      <protection locked="0"/>
    </xf>
    <xf numFmtId="3" fontId="25" fillId="2" borderId="0" xfId="0" applyNumberFormat="1" applyFont="1" applyFill="1" applyBorder="1" applyAlignment="1" applyProtection="1">
      <alignment vertical="center"/>
      <protection locked="0"/>
    </xf>
    <xf numFmtId="3" fontId="25" fillId="2" borderId="0" xfId="0" applyNumberFormat="1" applyFont="1" applyFill="1" applyAlignment="1" applyProtection="1">
      <alignment vertical="center"/>
      <protection locked="0"/>
    </xf>
    <xf numFmtId="3" fontId="45" fillId="2" borderId="0" xfId="0" applyNumberFormat="1" applyFont="1" applyFill="1" applyBorder="1" applyAlignment="1" applyProtection="1">
      <alignment vertical="center"/>
      <protection locked="0"/>
    </xf>
    <xf numFmtId="3" fontId="45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vertical="center"/>
      <protection locked="0"/>
    </xf>
    <xf numFmtId="3" fontId="23" fillId="3" borderId="0" xfId="0" applyNumberFormat="1" applyFont="1" applyFill="1" applyAlignment="1" applyProtection="1">
      <alignment vertical="center"/>
      <protection locked="0"/>
    </xf>
    <xf numFmtId="9" fontId="5" fillId="2" borderId="4" xfId="1" applyFont="1" applyFill="1" applyBorder="1" applyAlignment="1" applyProtection="1">
      <alignment horizontal="center" vertical="center" wrapText="1"/>
      <protection locked="0"/>
    </xf>
    <xf numFmtId="3" fontId="23" fillId="2" borderId="0" xfId="0" applyNumberFormat="1" applyFont="1" applyFill="1" applyBorder="1" applyAlignment="1" applyProtection="1">
      <alignment vertical="center"/>
      <protection locked="0"/>
    </xf>
    <xf numFmtId="3" fontId="23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horizontal="center" vertical="center"/>
      <protection locked="0"/>
    </xf>
    <xf numFmtId="3" fontId="23" fillId="3" borderId="0" xfId="0" applyNumberFormat="1" applyFont="1" applyFill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vertical="center"/>
      <protection locked="0"/>
    </xf>
    <xf numFmtId="3" fontId="15" fillId="2" borderId="0" xfId="0" applyNumberFormat="1" applyFont="1" applyFill="1" applyAlignment="1" applyProtection="1">
      <alignment vertical="center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2" fillId="3" borderId="0" xfId="0" applyNumberFormat="1" applyFont="1" applyFill="1" applyAlignment="1" applyProtection="1">
      <alignment vertical="center"/>
      <protection locked="0"/>
    </xf>
    <xf numFmtId="3" fontId="22" fillId="3" borderId="0" xfId="0" applyNumberFormat="1" applyFont="1" applyFill="1" applyBorder="1" applyAlignment="1" applyProtection="1">
      <alignment vertical="center"/>
      <protection locked="0"/>
    </xf>
    <xf numFmtId="3" fontId="5" fillId="3" borderId="4" xfId="0" applyNumberFormat="1" applyFont="1" applyFill="1" applyBorder="1" applyAlignment="1" applyProtection="1">
      <alignment vertical="center"/>
      <protection hidden="1"/>
    </xf>
    <xf numFmtId="3" fontId="15" fillId="3" borderId="0" xfId="0" applyNumberFormat="1" applyFont="1" applyFill="1" applyAlignment="1" applyProtection="1">
      <alignment horizontal="center" vertical="center" wrapText="1"/>
      <protection locked="0"/>
    </xf>
    <xf numFmtId="3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 applyProtection="1">
      <alignment horizontal="center" vertical="center" wrapText="1"/>
      <protection locked="0"/>
    </xf>
    <xf numFmtId="3" fontId="23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0" xfId="0" applyNumberFormat="1" applyFont="1" applyFill="1" applyBorder="1" applyAlignment="1" applyProtection="1">
      <alignment vertical="center" wrapText="1"/>
      <protection locked="0"/>
    </xf>
    <xf numFmtId="3" fontId="22" fillId="2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center"/>
      <protection locked="0"/>
    </xf>
    <xf numFmtId="3" fontId="8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3" xfId="0" applyNumberFormat="1" applyFont="1" applyFill="1" applyBorder="1" applyAlignment="1" applyProtection="1">
      <alignment vertical="center"/>
      <protection locked="0"/>
    </xf>
    <xf numFmtId="3" fontId="22" fillId="3" borderId="3" xfId="0" applyNumberFormat="1" applyFont="1" applyFill="1" applyBorder="1" applyAlignment="1" applyProtection="1">
      <alignment vertical="center"/>
      <protection locked="0"/>
    </xf>
    <xf numFmtId="3" fontId="12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vertical="center" wrapText="1"/>
      <protection locked="0"/>
    </xf>
    <xf numFmtId="3" fontId="21" fillId="2" borderId="1" xfId="0" applyNumberFormat="1" applyFont="1" applyFill="1" applyBorder="1" applyAlignment="1" applyProtection="1">
      <alignment vertical="center"/>
      <protection locked="0"/>
    </xf>
    <xf numFmtId="3" fontId="5" fillId="3" borderId="1" xfId="0" applyNumberFormat="1" applyFont="1" applyFill="1" applyBorder="1" applyAlignment="1" applyProtection="1">
      <alignment vertical="center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0" xfId="0" applyNumberFormat="1" applyFont="1" applyFill="1" applyBorder="1" applyAlignment="1" applyProtection="1">
      <alignment vertical="center"/>
      <protection locked="0"/>
    </xf>
    <xf numFmtId="3" fontId="9" fillId="2" borderId="0" xfId="0" applyNumberFormat="1" applyFont="1" applyFill="1" applyAlignment="1" applyProtection="1">
      <alignment vertical="center"/>
      <protection locked="0"/>
    </xf>
    <xf numFmtId="3" fontId="21" fillId="2" borderId="0" xfId="0" applyNumberFormat="1" applyFont="1" applyFill="1" applyBorder="1" applyAlignment="1" applyProtection="1">
      <alignment vertical="center"/>
      <protection locked="0"/>
    </xf>
    <xf numFmtId="3" fontId="21" fillId="2" borderId="0" xfId="0" applyNumberFormat="1" applyFont="1" applyFill="1" applyAlignment="1" applyProtection="1">
      <alignment vertical="center"/>
      <protection locked="0"/>
    </xf>
    <xf numFmtId="3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9" fontId="16" fillId="3" borderId="5" xfId="1" applyFont="1" applyFill="1" applyBorder="1" applyAlignment="1" applyProtection="1">
      <alignment horizontal="center" vertical="center" wrapText="1"/>
      <protection locked="0"/>
    </xf>
    <xf numFmtId="9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19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Alignment="1" applyProtection="1">
      <alignment horizontal="center"/>
      <protection locked="0"/>
    </xf>
    <xf numFmtId="3" fontId="5" fillId="2" borderId="4" xfId="0" applyNumberFormat="1" applyFont="1" applyFill="1" applyBorder="1" applyAlignment="1" applyProtection="1">
      <alignment vertical="center"/>
      <protection hidden="1"/>
    </xf>
    <xf numFmtId="3" fontId="46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4" xfId="0" applyNumberFormat="1" applyFont="1" applyFill="1" applyBorder="1" applyAlignment="1" applyProtection="1">
      <alignment vertical="center"/>
      <protection hidden="1"/>
    </xf>
    <xf numFmtId="3" fontId="46" fillId="2" borderId="0" xfId="0" applyNumberFormat="1" applyFont="1" applyFill="1" applyBorder="1" applyAlignment="1" applyProtection="1">
      <alignment vertical="center"/>
      <protection locked="0"/>
    </xf>
    <xf numFmtId="3" fontId="46" fillId="2" borderId="0" xfId="0" applyNumberFormat="1" applyFont="1" applyFill="1" applyAlignment="1" applyProtection="1">
      <alignment vertical="center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12" fillId="2" borderId="3" xfId="0" applyNumberFormat="1" applyFont="1" applyFill="1" applyBorder="1" applyAlignment="1" applyProtection="1">
      <alignment horizontal="center" vertical="center" textRotation="90" wrapText="1"/>
    </xf>
    <xf numFmtId="3" fontId="12" fillId="0" borderId="3" xfId="0" applyNumberFormat="1" applyFont="1" applyFill="1" applyBorder="1" applyAlignment="1" applyProtection="1">
      <alignment horizontal="center" vertical="center" textRotation="90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5" fillId="3" borderId="3" xfId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wrapText="1"/>
    </xf>
    <xf numFmtId="9" fontId="5" fillId="2" borderId="3" xfId="1" applyFont="1" applyFill="1" applyBorder="1" applyAlignment="1" applyProtection="1">
      <alignment horizontal="center" vertical="center" wrapText="1"/>
    </xf>
    <xf numFmtId="3" fontId="19" fillId="2" borderId="3" xfId="0" applyNumberFormat="1" applyFont="1" applyFill="1" applyBorder="1" applyAlignment="1" applyProtection="1">
      <alignment horizontal="center" vertical="center" wrapText="1"/>
    </xf>
    <xf numFmtId="9" fontId="9" fillId="2" borderId="3" xfId="1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righ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3" fontId="21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center" vertical="center" wrapText="1"/>
    </xf>
    <xf numFmtId="9" fontId="24" fillId="2" borderId="3" xfId="1" applyFont="1" applyFill="1" applyBorder="1" applyAlignment="1" applyProtection="1">
      <alignment horizontal="center" vertical="center" wrapText="1"/>
    </xf>
    <xf numFmtId="9" fontId="16" fillId="3" borderId="3" xfId="1" applyFont="1" applyFill="1" applyBorder="1" applyAlignment="1" applyProtection="1">
      <alignment horizontal="center" vertical="center" wrapText="1"/>
    </xf>
    <xf numFmtId="9" fontId="16" fillId="2" borderId="3" xfId="1" applyFont="1" applyFill="1" applyBorder="1" applyAlignment="1" applyProtection="1">
      <alignment horizontal="center" vertical="center" wrapText="1"/>
    </xf>
    <xf numFmtId="9" fontId="20" fillId="0" borderId="3" xfId="0" applyNumberFormat="1" applyFont="1" applyFill="1" applyBorder="1" applyAlignment="1" applyProtection="1">
      <alignment horizontal="center" vertical="center" wrapText="1"/>
    </xf>
    <xf numFmtId="3" fontId="5" fillId="3" borderId="5" xfId="0" applyNumberFormat="1" applyFont="1" applyFill="1" applyBorder="1" applyAlignment="1" applyProtection="1">
      <alignment horizontal="center" vertical="center" wrapText="1"/>
    </xf>
    <xf numFmtId="9" fontId="16" fillId="3" borderId="5" xfId="1" applyFont="1" applyFill="1" applyBorder="1" applyAlignment="1" applyProtection="1">
      <alignment horizontal="center" vertical="center" wrapText="1"/>
    </xf>
    <xf numFmtId="3" fontId="5" fillId="2" borderId="3" xfId="0" applyNumberFormat="1" applyFont="1" applyFill="1" applyBorder="1" applyAlignment="1" applyProtection="1">
      <alignment horizontal="center" vertical="center" wrapText="1"/>
    </xf>
    <xf numFmtId="3" fontId="15" fillId="2" borderId="0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Alignment="1" applyProtection="1">
      <alignment vertical="center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2" fillId="2" borderId="3" xfId="0" applyNumberFormat="1" applyFont="1" applyFill="1" applyBorder="1" applyAlignment="1" applyProtection="1">
      <alignment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22" fillId="3" borderId="0" xfId="0" applyNumberFormat="1" applyFont="1" applyFill="1" applyAlignment="1" applyProtection="1">
      <alignment vertical="center"/>
    </xf>
    <xf numFmtId="3" fontId="22" fillId="3" borderId="3" xfId="0" applyNumberFormat="1" applyFont="1" applyFill="1" applyBorder="1" applyAlignment="1" applyProtection="1">
      <alignment vertical="center"/>
    </xf>
    <xf numFmtId="3" fontId="8" fillId="3" borderId="3" xfId="0" applyNumberFormat="1" applyFont="1" applyFill="1" applyBorder="1" applyAlignment="1" applyProtection="1">
      <alignment horizontal="center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Border="1" applyAlignment="1" applyProtection="1">
      <alignment vertical="center"/>
    </xf>
    <xf numFmtId="3" fontId="46" fillId="2" borderId="0" xfId="0" applyNumberFormat="1" applyFont="1" applyFill="1" applyAlignment="1" applyProtection="1">
      <alignment vertical="center"/>
    </xf>
    <xf numFmtId="3" fontId="21" fillId="2" borderId="3" xfId="0" applyNumberFormat="1" applyFont="1" applyFill="1" applyBorder="1" applyAlignment="1" applyProtection="1">
      <alignment horizontal="center" vertical="center"/>
    </xf>
    <xf numFmtId="9" fontId="19" fillId="2" borderId="3" xfId="1" applyFont="1" applyFill="1" applyBorder="1" applyAlignment="1" applyProtection="1">
      <alignment horizontal="center" vertical="center" wrapText="1"/>
    </xf>
    <xf numFmtId="3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locked="0" hidden="1"/>
    </xf>
    <xf numFmtId="3" fontId="9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vertical="center"/>
      <protection locked="0" hidden="1"/>
    </xf>
    <xf numFmtId="3" fontId="21" fillId="2" borderId="4" xfId="0" applyNumberFormat="1" applyFont="1" applyFill="1" applyBorder="1" applyAlignment="1" applyProtection="1">
      <alignment vertical="center"/>
      <protection locked="0"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50" fillId="2" borderId="1" xfId="0" applyNumberFormat="1" applyFont="1" applyFill="1" applyBorder="1" applyAlignment="1" applyProtection="1">
      <alignment horizontal="center" vertical="center" wrapText="1"/>
    </xf>
    <xf numFmtId="3" fontId="9" fillId="2" borderId="4" xfId="0" applyNumberFormat="1" applyFont="1" applyFill="1" applyBorder="1" applyAlignment="1" applyProtection="1">
      <alignment vertical="center"/>
      <protection locked="0" hidden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164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3" xfId="0" applyNumberFormat="1" applyFont="1" applyFill="1" applyBorder="1" applyAlignment="1" applyProtection="1">
      <alignment horizontal="center" vertical="center"/>
    </xf>
    <xf numFmtId="3" fontId="28" fillId="2" borderId="3" xfId="0" applyNumberFormat="1" applyFont="1" applyFill="1" applyBorder="1" applyAlignment="1" applyProtection="1">
      <alignment horizontal="center" vertical="center"/>
      <protection locked="0"/>
    </xf>
    <xf numFmtId="164" fontId="28" fillId="2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4" xfId="0" applyNumberFormat="1" applyFont="1" applyFill="1" applyBorder="1" applyAlignment="1" applyProtection="1">
      <alignment vertical="center"/>
      <protection locked="0" hidden="1"/>
    </xf>
    <xf numFmtId="49" fontId="19" fillId="2" borderId="3" xfId="0" applyNumberFormat="1" applyFont="1" applyFill="1" applyBorder="1" applyAlignment="1" applyProtection="1">
      <alignment horizontal="right" vertical="center" wrapText="1"/>
    </xf>
    <xf numFmtId="49" fontId="5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3" fontId="15" fillId="3" borderId="0" xfId="0" applyNumberFormat="1" applyFont="1" applyFill="1" applyBorder="1" applyAlignment="1" applyProtection="1">
      <alignment vertical="center"/>
    </xf>
    <xf numFmtId="3" fontId="15" fillId="3" borderId="0" xfId="0" applyNumberFormat="1" applyFont="1" applyFill="1" applyAlignment="1" applyProtection="1">
      <alignment vertical="center"/>
    </xf>
    <xf numFmtId="49" fontId="51" fillId="12" borderId="2" xfId="0" applyNumberFormat="1" applyFont="1" applyFill="1" applyBorder="1" applyAlignment="1" applyProtection="1">
      <alignment horizontal="center" vertical="center" wrapText="1"/>
      <protection locked="0"/>
    </xf>
    <xf numFmtId="3" fontId="46" fillId="0" borderId="0" xfId="0" applyNumberFormat="1" applyFont="1" applyFill="1" applyAlignment="1" applyProtection="1">
      <alignment horizontal="center" vertical="top" wrapText="1"/>
      <protection locked="0"/>
    </xf>
    <xf numFmtId="3" fontId="3" fillId="0" borderId="0" xfId="0" applyNumberFormat="1" applyFont="1" applyFill="1" applyAlignment="1" applyProtection="1">
      <alignment vertical="top" wrapText="1"/>
      <protection locked="0"/>
    </xf>
    <xf numFmtId="3" fontId="4" fillId="0" borderId="0" xfId="0" applyNumberFormat="1" applyFont="1" applyFill="1" applyAlignment="1" applyProtection="1">
      <alignment horizontal="center" vertical="top" wrapText="1"/>
      <protection locked="0"/>
    </xf>
    <xf numFmtId="3" fontId="4" fillId="0" borderId="0" xfId="0" applyNumberFormat="1" applyFont="1" applyFill="1" applyAlignment="1" applyProtection="1">
      <alignment horizontal="center" wrapText="1"/>
      <protection locked="0"/>
    </xf>
    <xf numFmtId="3" fontId="10" fillId="0" borderId="0" xfId="0" applyNumberFormat="1" applyFont="1" applyFill="1" applyAlignment="1" applyProtection="1">
      <alignment horizontal="center"/>
      <protection locked="0"/>
    </xf>
    <xf numFmtId="3" fontId="14" fillId="0" borderId="0" xfId="0" applyNumberFormat="1" applyFont="1" applyFill="1" applyProtection="1">
      <protection locked="0"/>
    </xf>
    <xf numFmtId="3" fontId="15" fillId="0" borderId="0" xfId="0" applyNumberFormat="1" applyFont="1" applyFill="1" applyBorder="1" applyAlignment="1" applyProtection="1">
      <alignment vertical="center"/>
      <protection locked="0"/>
    </xf>
    <xf numFmtId="3" fontId="15" fillId="0" borderId="0" xfId="0" applyNumberFormat="1" applyFont="1" applyFill="1" applyAlignment="1" applyProtection="1">
      <alignment vertical="center"/>
      <protection locked="0"/>
    </xf>
    <xf numFmtId="3" fontId="7" fillId="0" borderId="0" xfId="0" applyNumberFormat="1" applyFont="1" applyFill="1" applyBorder="1" applyAlignment="1" applyProtection="1">
      <alignment vertical="center"/>
      <protection locked="0"/>
    </xf>
    <xf numFmtId="3" fontId="7" fillId="0" borderId="0" xfId="0" applyNumberFormat="1" applyFont="1" applyFill="1" applyAlignment="1" applyProtection="1">
      <alignment vertical="center"/>
      <protection locked="0"/>
    </xf>
    <xf numFmtId="3" fontId="22" fillId="0" borderId="0" xfId="0" applyNumberFormat="1" applyFont="1" applyFill="1" applyAlignment="1" applyProtection="1">
      <alignment vertical="center"/>
      <protection locked="0"/>
    </xf>
    <xf numFmtId="3" fontId="25" fillId="0" borderId="0" xfId="0" applyNumberFormat="1" applyFont="1" applyFill="1" applyBorder="1" applyAlignment="1" applyProtection="1">
      <alignment vertical="center"/>
      <protection locked="0"/>
    </xf>
    <xf numFmtId="3" fontId="25" fillId="0" borderId="0" xfId="0" applyNumberFormat="1" applyFont="1" applyFill="1" applyAlignment="1" applyProtection="1">
      <alignment vertical="center"/>
      <protection locked="0"/>
    </xf>
    <xf numFmtId="3" fontId="22" fillId="0" borderId="0" xfId="0" applyNumberFormat="1" applyFont="1" applyFill="1" applyBorder="1" applyAlignment="1" applyProtection="1">
      <alignment vertical="center" wrapText="1"/>
      <protection locked="0"/>
    </xf>
    <xf numFmtId="3" fontId="22" fillId="0" borderId="0" xfId="0" applyNumberFormat="1" applyFont="1" applyFill="1" applyBorder="1" applyAlignment="1" applyProtection="1">
      <alignment vertical="top" wrapText="1"/>
      <protection locked="0"/>
    </xf>
    <xf numFmtId="3" fontId="22" fillId="0" borderId="0" xfId="0" applyNumberFormat="1" applyFont="1" applyFill="1" applyProtection="1">
      <protection locked="0"/>
    </xf>
    <xf numFmtId="3" fontId="3" fillId="0" borderId="0" xfId="0" applyNumberFormat="1" applyFont="1" applyFill="1" applyBorder="1" applyAlignment="1" applyProtection="1">
      <alignment vertical="top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21" fillId="2" borderId="1" xfId="0" applyNumberFormat="1" applyFont="1" applyFill="1" applyBorder="1" applyAlignment="1" applyProtection="1">
      <alignment horizontal="left" vertical="center" wrapText="1"/>
    </xf>
    <xf numFmtId="3" fontId="21" fillId="2" borderId="2" xfId="0" applyNumberFormat="1" applyFont="1" applyFill="1" applyBorder="1" applyAlignment="1" applyProtection="1">
      <alignment horizontal="left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49" fontId="21" fillId="2" borderId="1" xfId="0" applyNumberFormat="1" applyFont="1" applyFill="1" applyBorder="1" applyAlignment="1" applyProtection="1">
      <alignment horizontal="left" vertical="center" wrapText="1"/>
    </xf>
    <xf numFmtId="49" fontId="21" fillId="2" borderId="2" xfId="0" applyNumberFormat="1" applyFont="1" applyFill="1" applyBorder="1" applyAlignment="1" applyProtection="1">
      <alignment horizontal="left" vertical="center" wrapText="1"/>
    </xf>
    <xf numFmtId="3" fontId="5" fillId="2" borderId="1" xfId="0" applyNumberFormat="1" applyFont="1" applyFill="1" applyBorder="1" applyAlignment="1" applyProtection="1">
      <alignment horizontal="left" vertical="center" wrapText="1"/>
    </xf>
    <xf numFmtId="3" fontId="5" fillId="2" borderId="2" xfId="0" applyNumberFormat="1" applyFont="1" applyFill="1" applyBorder="1" applyAlignment="1" applyProtection="1">
      <alignment horizontal="left" vertical="center" wrapText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46" fillId="2" borderId="2" xfId="0" applyNumberFormat="1" applyFont="1" applyFill="1" applyBorder="1" applyAlignment="1" applyProtection="1">
      <alignment horizontal="center" vertical="center" wrapText="1"/>
    </xf>
    <xf numFmtId="3" fontId="49" fillId="2" borderId="1" xfId="0" applyNumberFormat="1" applyFont="1" applyFill="1" applyBorder="1" applyAlignment="1" applyProtection="1">
      <alignment horizontal="left" vertical="center" wrapText="1"/>
    </xf>
    <xf numFmtId="3" fontId="49" fillId="2" borderId="2" xfId="0" applyNumberFormat="1" applyFont="1" applyFill="1" applyBorder="1" applyAlignment="1" applyProtection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49" fontId="5" fillId="2" borderId="1" xfId="0" applyNumberFormat="1" applyFont="1" applyFill="1" applyBorder="1" applyAlignment="1" applyProtection="1">
      <alignment horizontal="left" vertical="center" wrapText="1"/>
    </xf>
    <xf numFmtId="49" fontId="5" fillId="2" borderId="2" xfId="0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 applyProtection="1">
      <alignment horizontal="left" vertical="center" wrapText="1"/>
    </xf>
    <xf numFmtId="49" fontId="5" fillId="3" borderId="2" xfId="0" applyNumberFormat="1" applyFont="1" applyFill="1" applyBorder="1" applyAlignment="1" applyProtection="1">
      <alignment horizontal="left" vertical="center" wrapText="1"/>
    </xf>
    <xf numFmtId="3" fontId="27" fillId="2" borderId="1" xfId="0" applyNumberFormat="1" applyFont="1" applyFill="1" applyBorder="1" applyAlignment="1" applyProtection="1">
      <alignment horizontal="left" vertical="center" wrapText="1"/>
    </xf>
    <xf numFmtId="3" fontId="27" fillId="2" borderId="2" xfId="0" applyNumberFormat="1" applyFont="1" applyFill="1" applyBorder="1" applyAlignment="1" applyProtection="1">
      <alignment horizontal="left" vertical="center" wrapText="1"/>
    </xf>
    <xf numFmtId="3" fontId="15" fillId="2" borderId="1" xfId="0" applyNumberFormat="1" applyFont="1" applyFill="1" applyBorder="1" applyAlignment="1" applyProtection="1">
      <alignment horizontal="left" vertical="center" wrapText="1"/>
    </xf>
    <xf numFmtId="3" fontId="15" fillId="2" borderId="2" xfId="0" applyNumberFormat="1" applyFont="1" applyFill="1" applyBorder="1" applyAlignment="1" applyProtection="1">
      <alignment horizontal="left" vertical="center" wrapText="1"/>
    </xf>
    <xf numFmtId="49" fontId="24" fillId="2" borderId="1" xfId="0" applyNumberFormat="1" applyFont="1" applyFill="1" applyBorder="1" applyAlignment="1" applyProtection="1">
      <alignment horizontal="left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3" fontId="24" fillId="2" borderId="1" xfId="0" applyNumberFormat="1" applyFont="1" applyFill="1" applyBorder="1" applyAlignment="1" applyProtection="1">
      <alignment horizontal="left" vertical="center" wrapText="1"/>
    </xf>
    <xf numFmtId="3" fontId="24" fillId="2" borderId="2" xfId="0" applyNumberFormat="1" applyFont="1" applyFill="1" applyBorder="1" applyAlignment="1" applyProtection="1">
      <alignment horizontal="left" vertical="center" wrapText="1"/>
    </xf>
    <xf numFmtId="49" fontId="19" fillId="2" borderId="1" xfId="0" applyNumberFormat="1" applyFont="1" applyFill="1" applyBorder="1" applyAlignment="1" applyProtection="1">
      <alignment horizontal="left" vertical="center" wrapText="1"/>
    </xf>
    <xf numFmtId="49" fontId="19" fillId="2" borderId="2" xfId="0" applyNumberFormat="1" applyFont="1" applyFill="1" applyBorder="1" applyAlignment="1" applyProtection="1">
      <alignment horizontal="left" vertical="center" wrapText="1"/>
    </xf>
    <xf numFmtId="164" fontId="17" fillId="2" borderId="1" xfId="0" applyNumberFormat="1" applyFont="1" applyFill="1" applyBorder="1" applyAlignment="1" applyProtection="1">
      <alignment horizontal="left" vertical="center" wrapText="1"/>
    </xf>
    <xf numFmtId="164" fontId="17" fillId="2" borderId="2" xfId="0" applyNumberFormat="1" applyFont="1" applyFill="1" applyBorder="1" applyAlignment="1" applyProtection="1">
      <alignment horizontal="left" vertical="center" wrapText="1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48" fillId="2" borderId="2" xfId="0" applyNumberFormat="1" applyFont="1" applyFill="1" applyBorder="1" applyAlignment="1" applyProtection="1">
      <alignment horizontal="center" vertical="center" wrapText="1"/>
    </xf>
    <xf numFmtId="3" fontId="47" fillId="2" borderId="3" xfId="0" applyNumberFormat="1" applyFont="1" applyFill="1" applyBorder="1" applyAlignment="1" applyProtection="1">
      <alignment horizontal="center" vertical="top" wrapText="1"/>
    </xf>
    <xf numFmtId="3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1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7" xfId="0" applyNumberFormat="1" applyFont="1" applyFill="1" applyBorder="1" applyAlignment="1" applyProtection="1">
      <alignment horizontal="center" vertical="top" wrapText="1"/>
      <protection locked="0"/>
    </xf>
    <xf numFmtId="3" fontId="4" fillId="2" borderId="0" xfId="0" applyNumberFormat="1" applyFont="1" applyFill="1" applyBorder="1" applyAlignment="1" applyProtection="1">
      <alignment horizontal="center" vertical="top" wrapText="1"/>
      <protection locked="0"/>
    </xf>
    <xf numFmtId="3" fontId="4" fillId="2" borderId="6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3" fontId="4" fillId="2" borderId="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</xf>
    <xf numFmtId="3" fontId="46" fillId="12" borderId="0" xfId="0" applyNumberFormat="1" applyFont="1" applyFill="1" applyAlignment="1" applyProtection="1">
      <alignment horizontal="center" vertical="top" wrapText="1"/>
      <protection locked="0"/>
    </xf>
    <xf numFmtId="49" fontId="9" fillId="2" borderId="16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7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8" xfId="0" applyNumberFormat="1" applyFont="1" applyFill="1" applyBorder="1" applyAlignment="1" applyProtection="1">
      <alignment horizontal="center" vertical="top" wrapText="1"/>
      <protection locked="0"/>
    </xf>
    <xf numFmtId="49" fontId="9" fillId="2" borderId="9" xfId="0" applyNumberFormat="1" applyFont="1" applyFill="1" applyBorder="1" applyAlignment="1" applyProtection="1">
      <alignment horizontal="center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</xf>
    <xf numFmtId="3" fontId="2" fillId="2" borderId="0" xfId="0" applyNumberFormat="1" applyFont="1" applyFill="1" applyAlignment="1" applyProtection="1">
      <alignment horizontal="center" wrapText="1"/>
      <protection locked="0"/>
    </xf>
    <xf numFmtId="9" fontId="9" fillId="0" borderId="1" xfId="1" applyFont="1" applyFill="1" applyBorder="1" applyAlignment="1" applyProtection="1">
      <alignment horizontal="center" vertical="center" wrapText="1"/>
    </xf>
    <xf numFmtId="9" fontId="9" fillId="0" borderId="2" xfId="1" applyFont="1" applyFill="1" applyBorder="1" applyAlignment="1" applyProtection="1">
      <alignment horizontal="center" vertical="center" wrapText="1"/>
    </xf>
    <xf numFmtId="3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3" fillId="0" borderId="0" xfId="0" applyNumberFormat="1" applyFont="1" applyFill="1" applyAlignment="1" applyProtection="1">
      <alignment horizontal="left" vertical="center" wrapText="1"/>
      <protection locked="0"/>
    </xf>
    <xf numFmtId="49" fontId="9" fillId="0" borderId="20" xfId="0" applyNumberFormat="1" applyFont="1" applyFill="1" applyBorder="1" applyAlignment="1" applyProtection="1">
      <alignment horizontal="left" vertical="center" wrapText="1"/>
    </xf>
    <xf numFmtId="49" fontId="9" fillId="0" borderId="2" xfId="0" applyNumberFormat="1" applyFont="1" applyFill="1" applyBorder="1" applyAlignment="1" applyProtection="1">
      <alignment horizontal="left" vertical="center" wrapText="1"/>
    </xf>
    <xf numFmtId="3" fontId="2" fillId="0" borderId="0" xfId="0" applyNumberFormat="1" applyFont="1" applyFill="1" applyAlignment="1" applyProtection="1">
      <alignment horizontal="center" wrapText="1"/>
      <protection locked="0"/>
    </xf>
    <xf numFmtId="0" fontId="53" fillId="0" borderId="0" xfId="0" applyNumberFormat="1" applyFont="1" applyFill="1" applyAlignment="1" applyProtection="1">
      <alignment horizontal="left" vertical="top" wrapText="1"/>
      <protection locked="0"/>
    </xf>
    <xf numFmtId="0" fontId="53" fillId="0" borderId="0" xfId="0" applyNumberFormat="1" applyFont="1" applyFill="1" applyBorder="1" applyAlignment="1" applyProtection="1">
      <alignment horizontal="left" vertical="top" wrapText="1"/>
      <protection locked="0"/>
    </xf>
    <xf numFmtId="3" fontId="53" fillId="0" borderId="3" xfId="0" applyNumberFormat="1" applyFont="1" applyFill="1" applyBorder="1" applyAlignment="1" applyProtection="1">
      <alignment horizontal="center" vertical="center" wrapText="1"/>
    </xf>
    <xf numFmtId="3" fontId="8" fillId="0" borderId="3" xfId="0" applyNumberFormat="1" applyFont="1" applyFill="1" applyBorder="1" applyAlignment="1" applyProtection="1">
      <alignment horizontal="center" vertical="center" wrapText="1"/>
    </xf>
    <xf numFmtId="3" fontId="5" fillId="0" borderId="20" xfId="0" applyNumberFormat="1" applyFont="1" applyFill="1" applyBorder="1" applyAlignment="1" applyProtection="1">
      <alignment horizontal="left" vertical="center" wrapText="1"/>
    </xf>
    <xf numFmtId="3" fontId="5" fillId="0" borderId="2" xfId="0" applyNumberFormat="1" applyFont="1" applyFill="1" applyBorder="1" applyAlignment="1" applyProtection="1">
      <alignment horizontal="left" vertical="center" wrapText="1"/>
    </xf>
    <xf numFmtId="3" fontId="54" fillId="0" borderId="3" xfId="0" applyNumberFormat="1" applyFont="1" applyFill="1" applyBorder="1" applyAlignment="1" applyProtection="1">
      <alignment horizontal="center" vertical="top" wrapText="1"/>
      <protection locked="0"/>
    </xf>
    <xf numFmtId="3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2" fillId="0" borderId="2" xfId="0" applyNumberFormat="1" applyFont="1" applyFill="1" applyBorder="1" applyAlignment="1" applyProtection="1">
      <alignment horizontal="center" vertical="center" wrapText="1"/>
      <protection locked="0"/>
    </xf>
    <xf numFmtId="9" fontId="5" fillId="0" borderId="1" xfId="1" applyFont="1" applyFill="1" applyBorder="1" applyAlignment="1" applyProtection="1">
      <alignment horizontal="center" vertical="center" wrapText="1"/>
    </xf>
    <xf numFmtId="9" fontId="5" fillId="0" borderId="2" xfId="1" applyFont="1" applyFill="1" applyBorder="1" applyAlignment="1" applyProtection="1">
      <alignment horizontal="center" vertical="center" wrapText="1"/>
    </xf>
    <xf numFmtId="3" fontId="46" fillId="0" borderId="0" xfId="0" applyNumberFormat="1" applyFont="1" applyFill="1" applyAlignment="1" applyProtection="1">
      <alignment horizontal="center" vertical="top" wrapText="1"/>
      <protection locked="0"/>
    </xf>
    <xf numFmtId="3" fontId="5" fillId="0" borderId="1" xfId="0" applyNumberFormat="1" applyFont="1" applyFill="1" applyBorder="1" applyAlignment="1" applyProtection="1">
      <alignment horizontal="center" vertical="center" wrapText="1"/>
    </xf>
    <xf numFmtId="3" fontId="5" fillId="0" borderId="2" xfId="0" applyNumberFormat="1" applyFont="1" applyFill="1" applyBorder="1" applyAlignment="1" applyProtection="1">
      <alignment horizontal="center" vertical="center" wrapText="1"/>
    </xf>
    <xf numFmtId="3" fontId="9" fillId="0" borderId="1" xfId="0" applyNumberFormat="1" applyFont="1" applyFill="1" applyBorder="1" applyAlignment="1" applyProtection="1">
      <alignment horizontal="center" vertical="center" wrapText="1"/>
    </xf>
    <xf numFmtId="3" fontId="9" fillId="0" borderId="2" xfId="0" applyNumberFormat="1" applyFont="1" applyFill="1" applyBorder="1" applyAlignment="1" applyProtection="1">
      <alignment horizontal="center" vertical="center" wrapText="1"/>
    </xf>
    <xf numFmtId="3" fontId="19" fillId="0" borderId="1" xfId="0" applyNumberFormat="1" applyFont="1" applyFill="1" applyBorder="1" applyAlignment="1" applyProtection="1">
      <alignment horizontal="center" vertical="center" wrapText="1"/>
    </xf>
    <xf numFmtId="3" fontId="19" fillId="0" borderId="2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  <protection locked="0"/>
    </xf>
    <xf numFmtId="3" fontId="47" fillId="2" borderId="3" xfId="0" applyNumberFormat="1" applyFont="1" applyFill="1" applyBorder="1" applyAlignment="1" applyProtection="1">
      <alignment horizontal="center" vertical="top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</xf>
    <xf numFmtId="3" fontId="21" fillId="2" borderId="3" xfId="0" applyNumberFormat="1" applyFont="1" applyFill="1" applyBorder="1" applyAlignment="1" applyProtection="1">
      <alignment horizontal="left" vertical="center" wrapText="1"/>
    </xf>
    <xf numFmtId="49" fontId="21" fillId="2" borderId="3" xfId="0" applyNumberFormat="1" applyFont="1" applyFill="1" applyBorder="1" applyAlignment="1" applyProtection="1">
      <alignment horizontal="left" vertical="center" wrapText="1"/>
    </xf>
    <xf numFmtId="3" fontId="5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3" xfId="0" applyNumberFormat="1" applyFont="1" applyFill="1" applyBorder="1" applyAlignment="1" applyProtection="1">
      <alignment horizontal="left" vertical="center" wrapText="1"/>
    </xf>
    <xf numFmtId="49" fontId="9" fillId="2" borderId="3" xfId="0" applyNumberFormat="1" applyFont="1" applyFill="1" applyBorder="1" applyAlignment="1" applyProtection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left" vertical="center" wrapText="1"/>
    </xf>
    <xf numFmtId="49" fontId="5" fillId="3" borderId="3" xfId="0" applyNumberFormat="1" applyFont="1" applyFill="1" applyBorder="1" applyAlignment="1" applyProtection="1">
      <alignment horizontal="left" vertical="center" wrapText="1"/>
    </xf>
    <xf numFmtId="3" fontId="27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left" vertical="center" wrapText="1"/>
    </xf>
    <xf numFmtId="49" fontId="24" fillId="2" borderId="3" xfId="0" applyNumberFormat="1" applyFont="1" applyFill="1" applyBorder="1" applyAlignment="1" applyProtection="1">
      <alignment horizontal="left" vertical="center" wrapText="1"/>
    </xf>
    <xf numFmtId="3" fontId="24" fillId="2" borderId="3" xfId="0" applyNumberFormat="1" applyFont="1" applyFill="1" applyBorder="1" applyAlignment="1" applyProtection="1">
      <alignment horizontal="left" vertical="center" wrapText="1"/>
    </xf>
    <xf numFmtId="49" fontId="19" fillId="2" borderId="3" xfId="0" applyNumberFormat="1" applyFont="1" applyFill="1" applyBorder="1" applyAlignment="1" applyProtection="1">
      <alignment horizontal="left" vertical="center" wrapText="1"/>
    </xf>
    <xf numFmtId="164" fontId="17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28" fillId="2" borderId="3" xfId="0" applyNumberFormat="1" applyFont="1" applyFill="1" applyBorder="1" applyAlignment="1" applyProtection="1">
      <alignment horizontal="left" vertical="center" wrapText="1"/>
    </xf>
    <xf numFmtId="3" fontId="46" fillId="0" borderId="0" xfId="0" applyNumberFormat="1" applyFont="1" applyFill="1" applyAlignment="1" applyProtection="1">
      <alignment horizontal="center" vertical="center" wrapText="1"/>
      <protection locked="0"/>
    </xf>
  </cellXfs>
  <cellStyles count="20">
    <cellStyle name="Обычный" xfId="0" builtinId="0"/>
    <cellStyle name="Обычный 13" xfId="2"/>
    <cellStyle name="Обычный 2" xfId="3"/>
    <cellStyle name="Обычный 3" xfId="4"/>
    <cellStyle name="Обычный 4" xfId="5"/>
    <cellStyle name="Процентный" xfId="1" builtinId="5"/>
    <cellStyle name="㼿‿‿㼿㼿㼿?" xfId="6"/>
    <cellStyle name="㼿㼿" xfId="7"/>
    <cellStyle name="㼿㼿 " xfId="8"/>
    <cellStyle name="㼿㼿?" xfId="9"/>
    <cellStyle name="㼿㼿‿㼿㼿㼿㼿㼿㼿㼿" xfId="10"/>
    <cellStyle name="㼿㼿㼿" xfId="11"/>
    <cellStyle name="㼿㼿㼿?" xfId="12"/>
    <cellStyle name="㼿㼿㼿㼿" xfId="13"/>
    <cellStyle name="㼿㼿㼿㼿?" xfId="14"/>
    <cellStyle name="㼿㼿㼿㼿‿?" xfId="15"/>
    <cellStyle name="㼿㼿㼿㼿‿㼿㼿㼿" xfId="16"/>
    <cellStyle name="㼿㼿㼿㼿㼿" xfId="17"/>
    <cellStyle name="㼿㼿㼿㼿㼿?" xfId="18"/>
    <cellStyle name="㼿㼿㼿㼿㼿‿㼿㼿㼿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8%20&#1075;&#1086;&#1076;\&#1048;&#1088;&#1080;&#1085;&#1072;\&#1050;&#1088;&#1077;&#1076;&#1080;&#1090;&#1099;\&#1043;&#1086;&#1088;&#1086;&#1076;&#1072;%20&#1080;%20&#1088;&#1072;&#1081;&#1086;&#1085;&#1099;\&#1057;&#1086;&#1088;&#1090;&#1072;&#1074;&#1072;&#1083;&#1072;\&#1047;&#1072;&#1103;&#1074;&#1082;&#1080;%20&#1085;&#1072;%20&#1082;&#1088;&#1077;&#1076;&#1080;&#1090;\2015%20&#1075;&#1086;&#1076;\&#1076;&#1077;&#1082;&#1072;&#1073;&#1088;&#1100;%202015\&#1087;&#1088;&#1086;&#1075;&#1085;&#1086;&#1079;%20&#1082;%20&#1082;&#1088;&#1077;&#1076;&#1080;&#1090;&#1091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9;&#1095;&#1077;&#1090;%20&#1089;&#1088;&#1077;&#1076;&#1089;&#1090;&#1074;%202015%20&#1075;&#1086;&#1076;\&#1042;&#1099;&#1088;&#1072;&#1074;&#1085;&#1080;&#1074;&#1072;&#1085;&#1080;&#1077;\&#1057;&#1091;&#1073;&#1089;&#1080;&#1076;&#1080;&#1080;%20&#1085;&#1072;%20&#1074;&#1099;&#1088;&#1072;&#1074;&#1085;&#1080;&#1074;&#1072;&#1085;&#1080;&#1077;\&#1040;&#1085;&#1072;&#1083;&#1080;&#1079;%20&#1074;&#1099;&#1087;&#1086;&#1083;&#1085;&#1077;&#1085;&#1080;&#1103;%20&#1087;&#1086;&#1082;&#1072;&#1079;&#1072;&#1090;&#1077;&#1083;&#1077;&#1081;%20&#1088;&#1077;&#1079;-&#1090;&#1080;%202015\&#1089;&#1074;&#1086;&#1076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4;&#1058;&#1063;&#1045;&#1058;&#1053;&#1054;&#1057;&#1058;&#1068;%20&#1054;&#1052;&#1057;&#1059;\&#1054;&#1057;&#1058;&#1040;&#1058;&#1050;&#1048;\&#1085;&#1072;%2001.01.2016\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 "/>
      <sheetName val="прогноз  (за счет собств.)"/>
    </sheetNames>
    <sheetDataSet>
      <sheetData sheetId="0">
        <row r="16">
          <cell r="A16" t="str">
            <v>I. ДОХОДЫ - всего,  в т.ч.:</v>
          </cell>
        </row>
        <row r="18">
          <cell r="B18">
            <v>208697.3</v>
          </cell>
          <cell r="C18">
            <v>150494.9</v>
          </cell>
        </row>
        <row r="19">
          <cell r="B19">
            <v>0</v>
          </cell>
          <cell r="C19">
            <v>0</v>
          </cell>
        </row>
        <row r="20">
          <cell r="B20">
            <v>32353.800000000003</v>
          </cell>
          <cell r="C20">
            <v>32353.599999999999</v>
          </cell>
        </row>
        <row r="21">
          <cell r="B21">
            <v>48.5</v>
          </cell>
          <cell r="C21">
            <v>24.270000000000003</v>
          </cell>
        </row>
        <row r="22">
          <cell r="B22">
            <v>1988</v>
          </cell>
        </row>
        <row r="23">
          <cell r="B23">
            <v>11676.9</v>
          </cell>
        </row>
        <row r="24">
          <cell r="B24">
            <v>533</v>
          </cell>
          <cell r="C24">
            <v>532.5</v>
          </cell>
        </row>
        <row r="25">
          <cell r="B25">
            <v>6834.7</v>
          </cell>
          <cell r="C25">
            <v>6834.4000000000005</v>
          </cell>
        </row>
        <row r="26">
          <cell r="B26">
            <v>8544.6</v>
          </cell>
          <cell r="C26">
            <v>2078.6000000000004</v>
          </cell>
        </row>
        <row r="27">
          <cell r="B27">
            <v>34256</v>
          </cell>
          <cell r="C27">
            <v>16756.5</v>
          </cell>
        </row>
        <row r="28">
          <cell r="B28">
            <v>1482.4</v>
          </cell>
          <cell r="C28">
            <v>1481.9499999999998</v>
          </cell>
        </row>
        <row r="29">
          <cell r="B29">
            <v>37654.800000000003</v>
          </cell>
          <cell r="C29">
            <v>37153.4</v>
          </cell>
        </row>
        <row r="30">
          <cell r="B30">
            <v>37170.699999999997</v>
          </cell>
          <cell r="C30">
            <v>25724.100000000002</v>
          </cell>
        </row>
        <row r="31">
          <cell r="B31">
            <v>4905.2</v>
          </cell>
          <cell r="C31">
            <v>4718.4399999999996</v>
          </cell>
        </row>
        <row r="32">
          <cell r="B32">
            <v>1969.7</v>
          </cell>
          <cell r="C32">
            <v>1936</v>
          </cell>
        </row>
        <row r="34">
          <cell r="B34">
            <v>7299.4</v>
          </cell>
          <cell r="C34">
            <v>0</v>
          </cell>
        </row>
        <row r="35">
          <cell r="B35">
            <v>325162.8</v>
          </cell>
          <cell r="C35">
            <v>332462.25</v>
          </cell>
        </row>
        <row r="36">
          <cell r="B36">
            <v>7372</v>
          </cell>
          <cell r="C36">
            <v>7372</v>
          </cell>
        </row>
        <row r="37">
          <cell r="B37">
            <v>33469</v>
          </cell>
          <cell r="C37">
            <v>33469.231</v>
          </cell>
        </row>
        <row r="38">
          <cell r="B38">
            <v>16834</v>
          </cell>
          <cell r="C38">
            <v>16833.671999999999</v>
          </cell>
        </row>
        <row r="39">
          <cell r="B39">
            <v>6327</v>
          </cell>
          <cell r="C39">
            <v>7000.0650000000005</v>
          </cell>
        </row>
        <row r="40">
          <cell r="B40">
            <v>200</v>
          </cell>
          <cell r="C40">
            <v>200</v>
          </cell>
        </row>
        <row r="41">
          <cell r="B41">
            <v>-3733.2</v>
          </cell>
          <cell r="C41">
            <v>-3733.155999999999</v>
          </cell>
        </row>
        <row r="44">
          <cell r="C44">
            <v>255847.2</v>
          </cell>
        </row>
        <row r="45">
          <cell r="C45">
            <v>166222.90000000002</v>
          </cell>
        </row>
        <row r="46">
          <cell r="B46">
            <v>51395.199999999997</v>
          </cell>
          <cell r="C46">
            <v>31907.499999999996</v>
          </cell>
        </row>
        <row r="47">
          <cell r="B47">
            <v>67539.899999999994</v>
          </cell>
          <cell r="C47">
            <v>56426.8</v>
          </cell>
        </row>
        <row r="48">
          <cell r="B48">
            <v>0</v>
          </cell>
          <cell r="C48">
            <v>7299</v>
          </cell>
        </row>
        <row r="50">
          <cell r="B50">
            <v>63428.200000000004</v>
          </cell>
          <cell r="C50">
            <v>63416.600000000006</v>
          </cell>
        </row>
        <row r="54">
          <cell r="C54">
            <v>1162</v>
          </cell>
        </row>
        <row r="55">
          <cell r="B55">
            <v>2734.5</v>
          </cell>
          <cell r="C55">
            <v>100</v>
          </cell>
        </row>
        <row r="57">
          <cell r="B57">
            <v>14422.5</v>
          </cell>
          <cell r="C57">
            <v>6897.0999999999995</v>
          </cell>
        </row>
        <row r="58">
          <cell r="B58">
            <v>34028.400000000001</v>
          </cell>
          <cell r="C58">
            <v>31513.4</v>
          </cell>
        </row>
        <row r="60">
          <cell r="B60">
            <v>33772.400000000001</v>
          </cell>
          <cell r="C60">
            <v>28812.7</v>
          </cell>
        </row>
        <row r="63">
          <cell r="B63">
            <v>-3535.3000000000684</v>
          </cell>
          <cell r="C63">
            <v>10754.349999999973</v>
          </cell>
        </row>
        <row r="65">
          <cell r="B65">
            <v>20446.400000000001</v>
          </cell>
          <cell r="C65">
            <v>20446.199999999997</v>
          </cell>
        </row>
        <row r="66">
          <cell r="B66">
            <v>19189</v>
          </cell>
          <cell r="C66">
            <v>19189</v>
          </cell>
        </row>
        <row r="68">
          <cell r="B68">
            <v>15000</v>
          </cell>
          <cell r="C68">
            <v>15000</v>
          </cell>
        </row>
        <row r="69">
          <cell r="B69">
            <v>8019</v>
          </cell>
          <cell r="C69">
            <v>8019.2</v>
          </cell>
        </row>
        <row r="71">
          <cell r="B71">
            <v>2650</v>
          </cell>
          <cell r="C71">
            <v>2650</v>
          </cell>
        </row>
        <row r="72">
          <cell r="B72">
            <v>0</v>
          </cell>
          <cell r="C72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Взыскание с субвенциями"/>
      <sheetName val="Взыскание без субвенций"/>
      <sheetName val="Взыскание без субвенций (2)"/>
      <sheetName val="Взыскание без субвенций (3)"/>
      <sheetName val="Пр.зад-ть год.отчет 2014"/>
      <sheetName val="КУ-2015"/>
      <sheetName val="АУ, БУ-2015"/>
      <sheetName val="Консолид."/>
      <sheetName val="районы"/>
      <sheetName val="беломорск"/>
      <sheetName val="калевала"/>
      <sheetName val="кемь"/>
      <sheetName val="кондопога"/>
      <sheetName val="лахденпохья"/>
      <sheetName val="лоухи"/>
      <sheetName val="медгора"/>
      <sheetName val="муезерка"/>
      <sheetName val="олонец"/>
      <sheetName val="питкяранта"/>
      <sheetName val="прионежье"/>
      <sheetName val="пряжа"/>
      <sheetName val="пудож"/>
      <sheetName val="сегежа"/>
      <sheetName val="сегежа (1)"/>
      <sheetName val="сортавала"/>
      <sheetName val="суоярви"/>
      <sheetName val="свод"/>
      <sheetName val="Лист2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J23">
            <v>19330999.82</v>
          </cell>
          <cell r="M23">
            <v>271120.5</v>
          </cell>
          <cell r="AJ23">
            <v>0</v>
          </cell>
          <cell r="AZ23">
            <v>4834909.8499999996</v>
          </cell>
          <cell r="BC23">
            <v>0</v>
          </cell>
        </row>
      </sheetData>
      <sheetData sheetId="8">
        <row r="23">
          <cell r="H23">
            <v>15818172.609999999</v>
          </cell>
          <cell r="J23">
            <v>271120.5</v>
          </cell>
          <cell r="X23">
            <v>0</v>
          </cell>
          <cell r="AN23">
            <v>4834909.8499999996</v>
          </cell>
          <cell r="AP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отчета с 01.06.2015"/>
    </sheetNames>
    <sheetDataSet>
      <sheetData sheetId="0">
        <row r="12">
          <cell r="B12">
            <v>16175.4</v>
          </cell>
          <cell r="C12">
            <v>14813</v>
          </cell>
        </row>
        <row r="14">
          <cell r="B14">
            <v>11342.5</v>
          </cell>
          <cell r="C14">
            <v>9980.1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H324"/>
  <sheetViews>
    <sheetView zoomScale="70" zoomScaleNormal="70" zoomScaleSheetLayoutView="75" workbookViewId="0">
      <pane xSplit="2" ySplit="8" topLeftCell="BF9" activePane="bottomRight" state="frozen"/>
      <selection activeCell="C2" sqref="C2:DV2"/>
      <selection pane="topRight" activeCell="C2" sqref="C2:DV2"/>
      <selection pane="bottomLeft" activeCell="C2" sqref="C2:DV2"/>
      <selection pane="bottomRight" activeCell="BJ11" sqref="BJ11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57" hidden="1" customHeight="1">
      <c r="A1" s="272">
        <f>'пудожский район'!A1</f>
        <v>0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</row>
    <row r="2" spans="1:268" ht="18.75" customHeight="1">
      <c r="A2" s="3"/>
      <c r="C2" s="278" t="s">
        <v>0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  <c r="DM2" s="278"/>
      <c r="DN2" s="278"/>
      <c r="DO2" s="278"/>
      <c r="DP2" s="278"/>
      <c r="DQ2" s="278"/>
      <c r="DR2" s="278"/>
      <c r="DS2" s="278"/>
      <c r="DT2" s="278"/>
      <c r="DU2" s="278"/>
      <c r="DV2" s="278"/>
    </row>
    <row r="3" spans="1:268" ht="15.75" customHeight="1">
      <c r="C3" s="278" t="s">
        <v>1</v>
      </c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8"/>
      <c r="BM3" s="278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  <c r="CR3" s="278"/>
      <c r="CS3" s="278"/>
      <c r="CT3" s="278"/>
      <c r="CU3" s="278"/>
      <c r="CV3" s="278"/>
      <c r="CW3" s="278"/>
      <c r="CX3" s="278"/>
      <c r="CY3" s="278"/>
      <c r="CZ3" s="278"/>
      <c r="DA3" s="278"/>
      <c r="DB3" s="278"/>
      <c r="DC3" s="278"/>
      <c r="DD3" s="278"/>
      <c r="DE3" s="278"/>
      <c r="DF3" s="278"/>
      <c r="DG3" s="278"/>
      <c r="DH3" s="278"/>
      <c r="DI3" s="278"/>
      <c r="DJ3" s="278"/>
      <c r="DK3" s="278"/>
      <c r="DL3" s="278"/>
      <c r="DM3" s="278"/>
      <c r="DN3" s="278"/>
      <c r="DO3" s="278"/>
      <c r="DP3" s="278"/>
      <c r="DQ3" s="278"/>
      <c r="DR3" s="278"/>
      <c r="DS3" s="278"/>
      <c r="DT3" s="278"/>
      <c r="DU3" s="278"/>
      <c r="DV3" s="278"/>
    </row>
    <row r="4" spans="1:268" ht="15" customHeight="1">
      <c r="A4" s="4"/>
      <c r="B4" s="4"/>
      <c r="C4" s="4"/>
      <c r="D4" s="4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U4" s="7" t="s">
        <v>2</v>
      </c>
    </row>
    <row r="5" spans="1:268" ht="15.75" customHeight="1">
      <c r="A5" s="261" t="s">
        <v>3</v>
      </c>
      <c r="B5" s="262"/>
      <c r="C5" s="267" t="str">
        <f>'бюджет округа (района)'!C5</f>
        <v>2014 год</v>
      </c>
      <c r="D5" s="268"/>
      <c r="E5" s="269">
        <f>'бюджет округа (района)'!D5:Z5</f>
        <v>0</v>
      </c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>
        <f>'бюджет округа (района)'!AA5:BL5</f>
        <v>0</v>
      </c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9"/>
    </row>
    <row r="6" spans="1:268" s="120" customFormat="1" ht="16.5" customHeight="1">
      <c r="A6" s="263"/>
      <c r="B6" s="264"/>
      <c r="C6" s="270" t="s">
        <v>149</v>
      </c>
      <c r="D6" s="270"/>
      <c r="E6" s="271" t="s">
        <v>149</v>
      </c>
      <c r="F6" s="271"/>
      <c r="G6" s="270" t="s">
        <v>8</v>
      </c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  <c r="AF6" s="270"/>
      <c r="AG6" s="270"/>
      <c r="AH6" s="270"/>
      <c r="AI6" s="270"/>
      <c r="AJ6" s="270"/>
      <c r="AK6" s="270"/>
      <c r="AL6" s="270"/>
      <c r="AM6" s="270"/>
      <c r="AN6" s="270"/>
      <c r="AO6" s="270"/>
      <c r="AP6" s="270"/>
      <c r="AQ6" s="270"/>
      <c r="AR6" s="270"/>
      <c r="AS6" s="270"/>
      <c r="AT6" s="270"/>
      <c r="AU6" s="270"/>
      <c r="AV6" s="270"/>
      <c r="AW6" s="270"/>
      <c r="AX6" s="270"/>
      <c r="AY6" s="270" t="s">
        <v>150</v>
      </c>
      <c r="AZ6" s="270"/>
      <c r="BA6" s="259" t="s">
        <v>96</v>
      </c>
      <c r="BB6" s="259"/>
      <c r="BC6" s="260" t="s">
        <v>10</v>
      </c>
      <c r="BD6" s="260"/>
      <c r="BE6" s="260"/>
      <c r="BF6" s="260"/>
      <c r="BG6" s="260"/>
      <c r="BH6" s="260"/>
      <c r="BI6" s="260"/>
      <c r="BJ6" s="260"/>
      <c r="BK6" s="260"/>
      <c r="BL6" s="260"/>
      <c r="BM6" s="260"/>
      <c r="BN6" s="260"/>
      <c r="BO6" s="260"/>
      <c r="BP6" s="260"/>
      <c r="BQ6" s="260"/>
      <c r="BR6" s="260"/>
      <c r="BS6" s="260"/>
      <c r="BT6" s="260"/>
      <c r="BU6" s="260"/>
      <c r="BV6" s="260"/>
      <c r="BW6" s="260"/>
      <c r="BX6" s="260"/>
      <c r="BY6" s="260"/>
      <c r="BZ6" s="260"/>
      <c r="CA6" s="260"/>
      <c r="CB6" s="260"/>
      <c r="CC6" s="260"/>
      <c r="CD6" s="260"/>
      <c r="CE6" s="260"/>
      <c r="CF6" s="260"/>
      <c r="CG6" s="260"/>
      <c r="CH6" s="260"/>
      <c r="CI6" s="260"/>
      <c r="CJ6" s="260"/>
      <c r="CK6" s="260"/>
      <c r="CL6" s="260"/>
      <c r="CM6" s="260"/>
      <c r="CN6" s="260"/>
      <c r="CO6" s="260"/>
      <c r="CP6" s="260"/>
      <c r="CQ6" s="260"/>
      <c r="CR6" s="260"/>
      <c r="CS6" s="260"/>
      <c r="CT6" s="260"/>
      <c r="CU6" s="260"/>
      <c r="CV6" s="260"/>
      <c r="CW6" s="260"/>
      <c r="CX6" s="260"/>
      <c r="CY6" s="260"/>
      <c r="CZ6" s="260"/>
      <c r="DA6" s="260"/>
      <c r="DB6" s="260"/>
      <c r="DC6" s="260"/>
      <c r="DD6" s="260"/>
      <c r="DE6" s="260"/>
      <c r="DF6" s="260"/>
      <c r="DG6" s="260"/>
      <c r="DH6" s="260"/>
      <c r="DI6" s="260"/>
      <c r="DJ6" s="260"/>
      <c r="DK6" s="260"/>
      <c r="DL6" s="260"/>
      <c r="DM6" s="260"/>
      <c r="DN6" s="260"/>
      <c r="DO6" s="260"/>
      <c r="DP6" s="260"/>
      <c r="DQ6" s="273" t="s">
        <v>125</v>
      </c>
      <c r="DR6" s="274"/>
      <c r="DS6" s="277" t="s">
        <v>126</v>
      </c>
      <c r="DT6" s="277"/>
      <c r="DU6" s="277" t="s">
        <v>96</v>
      </c>
      <c r="DV6" s="277"/>
      <c r="DW6" s="163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0" customFormat="1" ht="36.75" customHeight="1">
      <c r="A7" s="263"/>
      <c r="B7" s="264"/>
      <c r="C7" s="270"/>
      <c r="D7" s="270"/>
      <c r="E7" s="271"/>
      <c r="F7" s="271"/>
      <c r="G7" s="254" t="s">
        <v>11</v>
      </c>
      <c r="H7" s="254"/>
      <c r="I7" s="254" t="s">
        <v>12</v>
      </c>
      <c r="J7" s="254"/>
      <c r="K7" s="256" t="s">
        <v>70</v>
      </c>
      <c r="L7" s="256"/>
      <c r="M7" s="254" t="s">
        <v>13</v>
      </c>
      <c r="N7" s="254"/>
      <c r="O7" s="256" t="s">
        <v>14</v>
      </c>
      <c r="P7" s="256"/>
      <c r="Q7" s="254" t="s">
        <v>15</v>
      </c>
      <c r="R7" s="254"/>
      <c r="S7" s="256" t="s">
        <v>81</v>
      </c>
      <c r="T7" s="256"/>
      <c r="U7" s="254" t="s">
        <v>16</v>
      </c>
      <c r="V7" s="254"/>
      <c r="W7" s="256" t="s">
        <v>82</v>
      </c>
      <c r="X7" s="256"/>
      <c r="Y7" s="254" t="s">
        <v>17</v>
      </c>
      <c r="Z7" s="254"/>
      <c r="AA7" s="256" t="s">
        <v>83</v>
      </c>
      <c r="AB7" s="256"/>
      <c r="AC7" s="254" t="s">
        <v>18</v>
      </c>
      <c r="AD7" s="254"/>
      <c r="AE7" s="256" t="s">
        <v>84</v>
      </c>
      <c r="AF7" s="256"/>
      <c r="AG7" s="254" t="s">
        <v>19</v>
      </c>
      <c r="AH7" s="254"/>
      <c r="AI7" s="256" t="s">
        <v>85</v>
      </c>
      <c r="AJ7" s="256"/>
      <c r="AK7" s="254" t="s">
        <v>20</v>
      </c>
      <c r="AL7" s="254"/>
      <c r="AM7" s="256" t="s">
        <v>86</v>
      </c>
      <c r="AN7" s="256"/>
      <c r="AO7" s="254" t="s">
        <v>21</v>
      </c>
      <c r="AP7" s="254"/>
      <c r="AQ7" s="256" t="s">
        <v>87</v>
      </c>
      <c r="AR7" s="256"/>
      <c r="AS7" s="254" t="s">
        <v>22</v>
      </c>
      <c r="AT7" s="254"/>
      <c r="AU7" s="256" t="s">
        <v>88</v>
      </c>
      <c r="AV7" s="256"/>
      <c r="AW7" s="254" t="s">
        <v>23</v>
      </c>
      <c r="AX7" s="254"/>
      <c r="AY7" s="270"/>
      <c r="AZ7" s="270"/>
      <c r="BA7" s="259"/>
      <c r="BB7" s="259"/>
      <c r="BC7" s="254" t="s">
        <v>11</v>
      </c>
      <c r="BD7" s="254"/>
      <c r="BE7" s="254" t="s">
        <v>12</v>
      </c>
      <c r="BF7" s="254"/>
      <c r="BG7" s="256" t="s">
        <v>70</v>
      </c>
      <c r="BH7" s="256"/>
      <c r="BI7" s="257" t="s">
        <v>96</v>
      </c>
      <c r="BJ7" s="258"/>
      <c r="BK7" s="254" t="s">
        <v>13</v>
      </c>
      <c r="BL7" s="254"/>
      <c r="BM7" s="256" t="s">
        <v>14</v>
      </c>
      <c r="BN7" s="256"/>
      <c r="BO7" s="257" t="s">
        <v>96</v>
      </c>
      <c r="BP7" s="258"/>
      <c r="BQ7" s="254" t="s">
        <v>15</v>
      </c>
      <c r="BR7" s="254"/>
      <c r="BS7" s="256" t="s">
        <v>81</v>
      </c>
      <c r="BT7" s="256"/>
      <c r="BU7" s="257" t="s">
        <v>96</v>
      </c>
      <c r="BV7" s="258"/>
      <c r="BW7" s="254" t="s">
        <v>141</v>
      </c>
      <c r="BX7" s="254"/>
      <c r="BY7" s="256" t="s">
        <v>82</v>
      </c>
      <c r="BZ7" s="256"/>
      <c r="CA7" s="257" t="s">
        <v>96</v>
      </c>
      <c r="CB7" s="258"/>
      <c r="CC7" s="254" t="s">
        <v>17</v>
      </c>
      <c r="CD7" s="254"/>
      <c r="CE7" s="256" t="s">
        <v>83</v>
      </c>
      <c r="CF7" s="256"/>
      <c r="CG7" s="257" t="s">
        <v>96</v>
      </c>
      <c r="CH7" s="258"/>
      <c r="CI7" s="254" t="s">
        <v>18</v>
      </c>
      <c r="CJ7" s="254"/>
      <c r="CK7" s="256" t="s">
        <v>84</v>
      </c>
      <c r="CL7" s="256"/>
      <c r="CM7" s="257" t="s">
        <v>96</v>
      </c>
      <c r="CN7" s="258"/>
      <c r="CO7" s="254" t="s">
        <v>19</v>
      </c>
      <c r="CP7" s="254"/>
      <c r="CQ7" s="256" t="s">
        <v>85</v>
      </c>
      <c r="CR7" s="256"/>
      <c r="CS7" s="257" t="s">
        <v>96</v>
      </c>
      <c r="CT7" s="258"/>
      <c r="CU7" s="254" t="s">
        <v>20</v>
      </c>
      <c r="CV7" s="254"/>
      <c r="CW7" s="256" t="s">
        <v>86</v>
      </c>
      <c r="CX7" s="256"/>
      <c r="CY7" s="257" t="s">
        <v>96</v>
      </c>
      <c r="CZ7" s="258"/>
      <c r="DA7" s="254" t="s">
        <v>21</v>
      </c>
      <c r="DB7" s="254"/>
      <c r="DC7" s="256" t="s">
        <v>87</v>
      </c>
      <c r="DD7" s="256"/>
      <c r="DE7" s="257" t="s">
        <v>96</v>
      </c>
      <c r="DF7" s="258"/>
      <c r="DG7" s="254" t="s">
        <v>22</v>
      </c>
      <c r="DH7" s="254"/>
      <c r="DI7" s="256" t="s">
        <v>88</v>
      </c>
      <c r="DJ7" s="256"/>
      <c r="DK7" s="257" t="s">
        <v>96</v>
      </c>
      <c r="DL7" s="258"/>
      <c r="DM7" s="254" t="s">
        <v>23</v>
      </c>
      <c r="DN7" s="254"/>
      <c r="DO7" s="255" t="str">
        <f>'бюджет округа (района)'!BI7:BI7</f>
        <v>Ожидаемая оценка на __________</v>
      </c>
      <c r="DP7" s="255"/>
      <c r="DQ7" s="275"/>
      <c r="DR7" s="276"/>
      <c r="DS7" s="277"/>
      <c r="DT7" s="277"/>
      <c r="DU7" s="277"/>
      <c r="DV7" s="277"/>
      <c r="DW7" s="16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" customFormat="1" ht="52.5" customHeight="1">
      <c r="A8" s="265"/>
      <c r="B8" s="266"/>
      <c r="C8" s="95" t="s">
        <v>26</v>
      </c>
      <c r="D8" s="95" t="s">
        <v>24</v>
      </c>
      <c r="E8" s="128" t="s">
        <v>26</v>
      </c>
      <c r="F8" s="128" t="s">
        <v>24</v>
      </c>
      <c r="G8" s="95" t="str">
        <f>E8</f>
        <v>консолиди-                       рованный бюджет района</v>
      </c>
      <c r="H8" s="95" t="str">
        <f>F8</f>
        <v>в т.ч. бюджет района</v>
      </c>
      <c r="I8" s="95" t="str">
        <f t="shared" ref="I8:AX8" si="0">G8</f>
        <v>консолиди-                       рованный бюджет района</v>
      </c>
      <c r="J8" s="95" t="str">
        <f t="shared" si="0"/>
        <v>в т.ч. бюджет района</v>
      </c>
      <c r="K8" s="128" t="str">
        <f t="shared" si="0"/>
        <v>консолиди-                       рованный бюджет района</v>
      </c>
      <c r="L8" s="128" t="str">
        <f t="shared" si="0"/>
        <v>в т.ч. бюджет района</v>
      </c>
      <c r="M8" s="95" t="str">
        <f t="shared" si="0"/>
        <v>консолиди-                       рованный бюджет района</v>
      </c>
      <c r="N8" s="95" t="str">
        <f t="shared" si="0"/>
        <v>в т.ч. бюджет района</v>
      </c>
      <c r="O8" s="128" t="str">
        <f t="shared" si="0"/>
        <v>консолиди-                       рованный бюджет района</v>
      </c>
      <c r="P8" s="128" t="str">
        <f t="shared" si="0"/>
        <v>в т.ч. бюджет района</v>
      </c>
      <c r="Q8" s="95" t="str">
        <f t="shared" si="0"/>
        <v>консолиди-                       рованный бюджет района</v>
      </c>
      <c r="R8" s="95" t="str">
        <f t="shared" si="0"/>
        <v>в т.ч. бюджет района</v>
      </c>
      <c r="S8" s="128" t="str">
        <f t="shared" si="0"/>
        <v>консолиди-                       рованный бюджет района</v>
      </c>
      <c r="T8" s="128" t="str">
        <f t="shared" si="0"/>
        <v>в т.ч. бюджет района</v>
      </c>
      <c r="U8" s="95" t="str">
        <f t="shared" si="0"/>
        <v>консолиди-                       рованный бюджет района</v>
      </c>
      <c r="V8" s="95" t="str">
        <f t="shared" si="0"/>
        <v>в т.ч. бюджет района</v>
      </c>
      <c r="W8" s="128" t="str">
        <f t="shared" si="0"/>
        <v>консолиди-                       рованный бюджет района</v>
      </c>
      <c r="X8" s="128" t="str">
        <f t="shared" si="0"/>
        <v>в т.ч. бюджет района</v>
      </c>
      <c r="Y8" s="95" t="str">
        <f t="shared" si="0"/>
        <v>консолиди-                       рованный бюджет района</v>
      </c>
      <c r="Z8" s="95" t="str">
        <f t="shared" si="0"/>
        <v>в т.ч. бюджет района</v>
      </c>
      <c r="AA8" s="128" t="str">
        <f t="shared" si="0"/>
        <v>консолиди-                       рованный бюджет района</v>
      </c>
      <c r="AB8" s="128" t="str">
        <f t="shared" si="0"/>
        <v>в т.ч. бюджет района</v>
      </c>
      <c r="AC8" s="95" t="str">
        <f t="shared" si="0"/>
        <v>консолиди-                       рованный бюджет района</v>
      </c>
      <c r="AD8" s="95" t="str">
        <f t="shared" si="0"/>
        <v>в т.ч. бюджет района</v>
      </c>
      <c r="AE8" s="128" t="str">
        <f t="shared" si="0"/>
        <v>консолиди-                       рованный бюджет района</v>
      </c>
      <c r="AF8" s="128" t="str">
        <f t="shared" si="0"/>
        <v>в т.ч. бюджет района</v>
      </c>
      <c r="AG8" s="95" t="str">
        <f t="shared" si="0"/>
        <v>консолиди-                       рованный бюджет района</v>
      </c>
      <c r="AH8" s="95" t="str">
        <f t="shared" si="0"/>
        <v>в т.ч. бюджет района</v>
      </c>
      <c r="AI8" s="128" t="str">
        <f t="shared" si="0"/>
        <v>консолиди-                       рованный бюджет района</v>
      </c>
      <c r="AJ8" s="128" t="str">
        <f t="shared" si="0"/>
        <v>в т.ч. бюджет района</v>
      </c>
      <c r="AK8" s="95" t="str">
        <f t="shared" si="0"/>
        <v>консолиди-                       рованный бюджет района</v>
      </c>
      <c r="AL8" s="95" t="str">
        <f t="shared" si="0"/>
        <v>в т.ч. бюджет района</v>
      </c>
      <c r="AM8" s="128" t="str">
        <f t="shared" si="0"/>
        <v>консолиди-                       рованный бюджет района</v>
      </c>
      <c r="AN8" s="128" t="str">
        <f t="shared" si="0"/>
        <v>в т.ч. бюджет района</v>
      </c>
      <c r="AO8" s="95" t="str">
        <f t="shared" si="0"/>
        <v>консолиди-                       рованный бюджет района</v>
      </c>
      <c r="AP8" s="95" t="str">
        <f t="shared" si="0"/>
        <v>в т.ч. бюджет района</v>
      </c>
      <c r="AQ8" s="128" t="str">
        <f t="shared" si="0"/>
        <v>консолиди-                       рованный бюджет района</v>
      </c>
      <c r="AR8" s="128" t="str">
        <f t="shared" si="0"/>
        <v>в т.ч. бюджет района</v>
      </c>
      <c r="AS8" s="95" t="str">
        <f t="shared" si="0"/>
        <v>консолиди-                       рованный бюджет района</v>
      </c>
      <c r="AT8" s="95" t="str">
        <f t="shared" si="0"/>
        <v>в т.ч. бюджет района</v>
      </c>
      <c r="AU8" s="128" t="str">
        <f t="shared" si="0"/>
        <v>консолиди-                       рованный бюджет района</v>
      </c>
      <c r="AV8" s="128" t="str">
        <f t="shared" si="0"/>
        <v>в т.ч. бюджет района</v>
      </c>
      <c r="AW8" s="95" t="str">
        <f t="shared" si="0"/>
        <v>консолиди-                       рованный бюджет района</v>
      </c>
      <c r="AX8" s="95" t="str">
        <f t="shared" si="0"/>
        <v>в т.ч. бюджет района</v>
      </c>
      <c r="AY8" s="95" t="str">
        <f>E8</f>
        <v>консолиди-                       рованный бюджет района</v>
      </c>
      <c r="AZ8" s="95" t="s">
        <v>24</v>
      </c>
      <c r="BA8" s="128" t="str">
        <f>AY8</f>
        <v>консолиди-                       рованный бюджет района</v>
      </c>
      <c r="BB8" s="128" t="s">
        <v>25</v>
      </c>
      <c r="BC8" s="95" t="s">
        <v>27</v>
      </c>
      <c r="BD8" s="95" t="s">
        <v>24</v>
      </c>
      <c r="BE8" s="95" t="s">
        <v>27</v>
      </c>
      <c r="BF8" s="95" t="s">
        <v>24</v>
      </c>
      <c r="BG8" s="128" t="str">
        <f t="shared" ref="BG8:BJ8" si="1">BE8</f>
        <v>консолидированный бюджет района</v>
      </c>
      <c r="BH8" s="128" t="str">
        <f t="shared" si="1"/>
        <v>в т.ч. бюджет района</v>
      </c>
      <c r="BI8" s="128" t="str">
        <f t="shared" si="1"/>
        <v>консолидированный бюджет района</v>
      </c>
      <c r="BJ8" s="128" t="str">
        <f t="shared" si="1"/>
        <v>в т.ч. бюджет района</v>
      </c>
      <c r="BK8" s="95" t="s">
        <v>27</v>
      </c>
      <c r="BL8" s="95" t="s">
        <v>24</v>
      </c>
      <c r="BM8" s="128" t="str">
        <f t="shared" ref="BM8:BP8" si="2">BK8</f>
        <v>консолидированный бюджет района</v>
      </c>
      <c r="BN8" s="128" t="str">
        <f t="shared" si="2"/>
        <v>в т.ч. бюджет района</v>
      </c>
      <c r="BO8" s="128" t="str">
        <f t="shared" si="2"/>
        <v>консолидированный бюджет района</v>
      </c>
      <c r="BP8" s="128" t="str">
        <f t="shared" si="2"/>
        <v>в т.ч. бюджет района</v>
      </c>
      <c r="BQ8" s="95" t="str">
        <f t="shared" ref="BQ8:BR8" si="3">BM8</f>
        <v>консолидированный бюджет района</v>
      </c>
      <c r="BR8" s="95" t="str">
        <f t="shared" si="3"/>
        <v>в т.ч. бюджет района</v>
      </c>
      <c r="BS8" s="128" t="str">
        <f t="shared" ref="BS8:BV8" si="4">BQ8</f>
        <v>консолидированный бюджет района</v>
      </c>
      <c r="BT8" s="128" t="str">
        <f t="shared" si="4"/>
        <v>в т.ч. бюджет района</v>
      </c>
      <c r="BU8" s="128" t="str">
        <f t="shared" si="4"/>
        <v>консолидированный бюджет района</v>
      </c>
      <c r="BV8" s="128" t="str">
        <f t="shared" si="4"/>
        <v>в т.ч. бюджет района</v>
      </c>
      <c r="BW8" s="95" t="str">
        <f t="shared" ref="BW8:BX8" si="5">BS8</f>
        <v>консолидированный бюджет района</v>
      </c>
      <c r="BX8" s="95" t="str">
        <f t="shared" si="5"/>
        <v>в т.ч. бюджет района</v>
      </c>
      <c r="BY8" s="128" t="str">
        <f t="shared" ref="BY8:CB8" si="6">BW8</f>
        <v>консолидированный бюджет района</v>
      </c>
      <c r="BZ8" s="128" t="str">
        <f t="shared" si="6"/>
        <v>в т.ч. бюджет района</v>
      </c>
      <c r="CA8" s="128" t="str">
        <f t="shared" si="6"/>
        <v>консолидированный бюджет района</v>
      </c>
      <c r="CB8" s="128" t="str">
        <f t="shared" si="6"/>
        <v>в т.ч. бюджет района</v>
      </c>
      <c r="CC8" s="95" t="str">
        <f t="shared" ref="CC8:CD8" si="7">BY8</f>
        <v>консолидированный бюджет района</v>
      </c>
      <c r="CD8" s="95" t="str">
        <f t="shared" si="7"/>
        <v>в т.ч. бюджет района</v>
      </c>
      <c r="CE8" s="128" t="str">
        <f t="shared" ref="CE8:CH8" si="8">CC8</f>
        <v>консолидированный бюджет района</v>
      </c>
      <c r="CF8" s="128" t="str">
        <f t="shared" si="8"/>
        <v>в т.ч. бюджет района</v>
      </c>
      <c r="CG8" s="128" t="str">
        <f t="shared" si="8"/>
        <v>консолидированный бюджет района</v>
      </c>
      <c r="CH8" s="128" t="str">
        <f t="shared" si="8"/>
        <v>в т.ч. бюджет района</v>
      </c>
      <c r="CI8" s="95" t="str">
        <f t="shared" ref="CI8:CJ8" si="9">CE8</f>
        <v>консолидированный бюджет района</v>
      </c>
      <c r="CJ8" s="95" t="str">
        <f t="shared" si="9"/>
        <v>в т.ч. бюджет района</v>
      </c>
      <c r="CK8" s="128" t="str">
        <f t="shared" ref="CK8:CN8" si="10">CI8</f>
        <v>консолидированный бюджет района</v>
      </c>
      <c r="CL8" s="128" t="str">
        <f t="shared" si="10"/>
        <v>в т.ч. бюджет района</v>
      </c>
      <c r="CM8" s="128" t="str">
        <f t="shared" si="10"/>
        <v>консолидированный бюджет района</v>
      </c>
      <c r="CN8" s="128" t="str">
        <f t="shared" si="10"/>
        <v>в т.ч. бюджет района</v>
      </c>
      <c r="CO8" s="95" t="str">
        <f t="shared" ref="CO8:CP8" si="11">CK8</f>
        <v>консолидированный бюджет района</v>
      </c>
      <c r="CP8" s="95" t="str">
        <f t="shared" si="11"/>
        <v>в т.ч. бюджет района</v>
      </c>
      <c r="CQ8" s="128" t="str">
        <f t="shared" ref="CQ8:CT8" si="12">CO8</f>
        <v>консолидированный бюджет района</v>
      </c>
      <c r="CR8" s="128" t="str">
        <f t="shared" si="12"/>
        <v>в т.ч. бюджет района</v>
      </c>
      <c r="CS8" s="128" t="str">
        <f t="shared" si="12"/>
        <v>консолидированный бюджет района</v>
      </c>
      <c r="CT8" s="128" t="str">
        <f t="shared" si="12"/>
        <v>в т.ч. бюджет района</v>
      </c>
      <c r="CU8" s="95" t="str">
        <f t="shared" ref="CU8:CV8" si="13">CQ8</f>
        <v>консолидированный бюджет района</v>
      </c>
      <c r="CV8" s="95" t="str">
        <f t="shared" si="13"/>
        <v>в т.ч. бюджет района</v>
      </c>
      <c r="CW8" s="128" t="str">
        <f t="shared" ref="CW8:CZ8" si="14">CU8</f>
        <v>консолидированный бюджет района</v>
      </c>
      <c r="CX8" s="128" t="str">
        <f t="shared" si="14"/>
        <v>в т.ч. бюджет района</v>
      </c>
      <c r="CY8" s="128" t="str">
        <f t="shared" si="14"/>
        <v>консолидированный бюджет района</v>
      </c>
      <c r="CZ8" s="128" t="str">
        <f t="shared" si="14"/>
        <v>в т.ч. бюджет района</v>
      </c>
      <c r="DA8" s="95" t="str">
        <f t="shared" ref="DA8:DB8" si="15">CW8</f>
        <v>консолидированный бюджет района</v>
      </c>
      <c r="DB8" s="95" t="str">
        <f t="shared" si="15"/>
        <v>в т.ч. бюджет района</v>
      </c>
      <c r="DC8" s="128" t="str">
        <f t="shared" ref="DC8:DF8" si="16">DA8</f>
        <v>консолидированный бюджет района</v>
      </c>
      <c r="DD8" s="128" t="str">
        <f t="shared" si="16"/>
        <v>в т.ч. бюджет района</v>
      </c>
      <c r="DE8" s="128" t="str">
        <f t="shared" si="16"/>
        <v>консолидированный бюджет района</v>
      </c>
      <c r="DF8" s="128" t="str">
        <f t="shared" si="16"/>
        <v>в т.ч. бюджет района</v>
      </c>
      <c r="DG8" s="95" t="str">
        <f t="shared" ref="DG8:DH8" si="17">DC8</f>
        <v>консолидированный бюджет района</v>
      </c>
      <c r="DH8" s="95" t="str">
        <f t="shared" si="17"/>
        <v>в т.ч. бюджет района</v>
      </c>
      <c r="DI8" s="128" t="str">
        <f t="shared" ref="DI8:DL8" si="18">DG8</f>
        <v>консолидированный бюджет района</v>
      </c>
      <c r="DJ8" s="128" t="str">
        <f t="shared" si="18"/>
        <v>в т.ч. бюджет района</v>
      </c>
      <c r="DK8" s="128" t="str">
        <f t="shared" si="18"/>
        <v>консолидированный бюджет района</v>
      </c>
      <c r="DL8" s="128" t="str">
        <f t="shared" si="18"/>
        <v>в т.ч. бюджет района</v>
      </c>
      <c r="DM8" s="95" t="str">
        <f t="shared" ref="DM8:DN8" si="19">DI8</f>
        <v>консолидированный бюджет района</v>
      </c>
      <c r="DN8" s="95" t="str">
        <f t="shared" si="19"/>
        <v>в т.ч. бюджет района</v>
      </c>
      <c r="DO8" s="95" t="s">
        <v>27</v>
      </c>
      <c r="DP8" s="95" t="s">
        <v>24</v>
      </c>
      <c r="DQ8" s="95" t="s">
        <v>27</v>
      </c>
      <c r="DR8" s="95" t="s">
        <v>24</v>
      </c>
      <c r="DS8" s="128" t="s">
        <v>28</v>
      </c>
      <c r="DT8" s="129" t="s">
        <v>25</v>
      </c>
      <c r="DU8" s="128" t="s">
        <v>28</v>
      </c>
      <c r="DV8" s="129" t="s">
        <v>25</v>
      </c>
      <c r="DW8" s="14"/>
      <c r="DX8" s="15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</row>
    <row r="9" spans="1:268" s="18" customFormat="1" ht="23.25" customHeight="1">
      <c r="A9" s="217" t="s">
        <v>29</v>
      </c>
      <c r="B9" s="218"/>
      <c r="C9" s="130">
        <f>C10+C27</f>
        <v>0</v>
      </c>
      <c r="D9" s="130">
        <f t="shared" ref="D9:AF9" si="20">D10+D27</f>
        <v>0</v>
      </c>
      <c r="E9" s="130">
        <f t="shared" si="20"/>
        <v>0</v>
      </c>
      <c r="F9" s="130">
        <f t="shared" si="20"/>
        <v>0</v>
      </c>
      <c r="G9" s="130">
        <f>G10+G27</f>
        <v>0</v>
      </c>
      <c r="H9" s="130">
        <f t="shared" ref="H9" si="21">H10+H27</f>
        <v>0</v>
      </c>
      <c r="I9" s="130">
        <f>I10+I27</f>
        <v>0</v>
      </c>
      <c r="J9" s="130">
        <f t="shared" ref="J9" si="22">J10+J27</f>
        <v>0</v>
      </c>
      <c r="K9" s="130">
        <f t="shared" si="20"/>
        <v>0</v>
      </c>
      <c r="L9" s="130">
        <f t="shared" si="20"/>
        <v>0</v>
      </c>
      <c r="M9" s="130">
        <f>M10+M27</f>
        <v>0</v>
      </c>
      <c r="N9" s="130">
        <f t="shared" ref="N9" si="23">N10+N27</f>
        <v>0</v>
      </c>
      <c r="O9" s="130">
        <f t="shared" si="20"/>
        <v>0</v>
      </c>
      <c r="P9" s="130">
        <f t="shared" si="20"/>
        <v>0</v>
      </c>
      <c r="Q9" s="130">
        <f>Q10+Q27</f>
        <v>0</v>
      </c>
      <c r="R9" s="130">
        <f t="shared" ref="R9" si="24">R10+R27</f>
        <v>0</v>
      </c>
      <c r="S9" s="130">
        <f t="shared" si="20"/>
        <v>0</v>
      </c>
      <c r="T9" s="130">
        <f t="shared" si="20"/>
        <v>0</v>
      </c>
      <c r="U9" s="130">
        <f>U10+U27</f>
        <v>0</v>
      </c>
      <c r="V9" s="130">
        <f t="shared" ref="V9" si="25">V10+V27</f>
        <v>0</v>
      </c>
      <c r="W9" s="130">
        <f t="shared" si="20"/>
        <v>0</v>
      </c>
      <c r="X9" s="130">
        <f t="shared" si="20"/>
        <v>0</v>
      </c>
      <c r="Y9" s="130">
        <f>Y10+Y27</f>
        <v>0</v>
      </c>
      <c r="Z9" s="130">
        <f t="shared" ref="Z9" si="26">Z10+Z27</f>
        <v>0</v>
      </c>
      <c r="AA9" s="130">
        <f t="shared" si="20"/>
        <v>0</v>
      </c>
      <c r="AB9" s="130">
        <f t="shared" si="20"/>
        <v>0</v>
      </c>
      <c r="AC9" s="130">
        <f>AC10+AC27</f>
        <v>0</v>
      </c>
      <c r="AD9" s="130">
        <f t="shared" ref="AD9" si="27">AD10+AD27</f>
        <v>0</v>
      </c>
      <c r="AE9" s="130">
        <f t="shared" si="20"/>
        <v>0</v>
      </c>
      <c r="AF9" s="130">
        <f t="shared" si="20"/>
        <v>0</v>
      </c>
      <c r="AG9" s="130">
        <f>AG10+AG27</f>
        <v>0</v>
      </c>
      <c r="AH9" s="130">
        <f t="shared" ref="AH9:AJ9" si="28">AH10+AH27</f>
        <v>0</v>
      </c>
      <c r="AI9" s="130">
        <f t="shared" si="28"/>
        <v>0</v>
      </c>
      <c r="AJ9" s="130">
        <f t="shared" si="28"/>
        <v>0</v>
      </c>
      <c r="AK9" s="130">
        <f>AK10+AK27</f>
        <v>0</v>
      </c>
      <c r="AL9" s="130">
        <f t="shared" ref="AL9:AN9" si="29">AL10+AL27</f>
        <v>0</v>
      </c>
      <c r="AM9" s="130">
        <f t="shared" si="29"/>
        <v>0</v>
      </c>
      <c r="AN9" s="130">
        <f t="shared" si="29"/>
        <v>0</v>
      </c>
      <c r="AO9" s="130">
        <f>AO10+AO27</f>
        <v>0</v>
      </c>
      <c r="AP9" s="130">
        <f t="shared" ref="AP9:AR9" si="30">AP10+AP27</f>
        <v>0</v>
      </c>
      <c r="AQ9" s="130">
        <f t="shared" si="30"/>
        <v>0</v>
      </c>
      <c r="AR9" s="130">
        <f t="shared" si="30"/>
        <v>0</v>
      </c>
      <c r="AS9" s="130">
        <f>AS10+AS27</f>
        <v>0</v>
      </c>
      <c r="AT9" s="130">
        <f t="shared" ref="AT9:AV9" si="31">AT10+AT27</f>
        <v>0</v>
      </c>
      <c r="AU9" s="130">
        <f t="shared" si="31"/>
        <v>0</v>
      </c>
      <c r="AV9" s="130">
        <f t="shared" si="31"/>
        <v>0</v>
      </c>
      <c r="AW9" s="130">
        <f>AW10+AW27</f>
        <v>0</v>
      </c>
      <c r="AX9" s="130">
        <f t="shared" ref="AX9" si="32">AX10+AX27</f>
        <v>0</v>
      </c>
      <c r="AY9" s="130">
        <f>AY10+AY27</f>
        <v>0</v>
      </c>
      <c r="AZ9" s="130">
        <f t="shared" ref="AZ9" si="33">AZ10+AZ27</f>
        <v>0</v>
      </c>
      <c r="BA9" s="131">
        <f>IF(E9=0,1,AY9/E9-1)</f>
        <v>1</v>
      </c>
      <c r="BB9" s="131">
        <f>IF(F9=0,1,AZ9/F9-1)</f>
        <v>1</v>
      </c>
      <c r="BC9" s="130">
        <f>BC10+BC27</f>
        <v>0</v>
      </c>
      <c r="BD9" s="130">
        <f t="shared" ref="BD9" si="34">BD10+BD27</f>
        <v>0</v>
      </c>
      <c r="BE9" s="130">
        <f>BE10+BE27</f>
        <v>0</v>
      </c>
      <c r="BF9" s="130">
        <f t="shared" ref="BF9:BH9" si="35">BF10+BF27</f>
        <v>0</v>
      </c>
      <c r="BG9" s="130">
        <f t="shared" si="35"/>
        <v>0</v>
      </c>
      <c r="BH9" s="130">
        <f t="shared" si="35"/>
        <v>0</v>
      </c>
      <c r="BI9" s="131">
        <f t="shared" ref="BI9:BJ40" si="36">IF(K9=0,1,BG9/K9-1)</f>
        <v>1</v>
      </c>
      <c r="BJ9" s="131">
        <f t="shared" si="36"/>
        <v>1</v>
      </c>
      <c r="BK9" s="130">
        <f>BK10+BK27</f>
        <v>0</v>
      </c>
      <c r="BL9" s="130">
        <f t="shared" ref="BL9:DJ9" si="37">BL10+BL27</f>
        <v>0</v>
      </c>
      <c r="BM9" s="130">
        <f t="shared" si="37"/>
        <v>0</v>
      </c>
      <c r="BN9" s="130">
        <f t="shared" si="37"/>
        <v>0</v>
      </c>
      <c r="BO9" s="131">
        <f t="shared" ref="BO9:BP40" si="38">IF(O9=0,1,BM9/O9-1)</f>
        <v>1</v>
      </c>
      <c r="BP9" s="131">
        <f t="shared" si="38"/>
        <v>1</v>
      </c>
      <c r="BQ9" s="130">
        <f>BQ10+BQ27</f>
        <v>0</v>
      </c>
      <c r="BR9" s="130">
        <f t="shared" ref="BR9" si="39">BR10+BR27</f>
        <v>0</v>
      </c>
      <c r="BS9" s="130">
        <f t="shared" si="37"/>
        <v>0</v>
      </c>
      <c r="BT9" s="130">
        <f t="shared" si="37"/>
        <v>0</v>
      </c>
      <c r="BU9" s="131">
        <f t="shared" ref="BU9:BV40" si="40">IF(S9=0,1,BS9/S9-1)</f>
        <v>1</v>
      </c>
      <c r="BV9" s="131">
        <f t="shared" si="40"/>
        <v>1</v>
      </c>
      <c r="BW9" s="130">
        <f>BW10+BW27</f>
        <v>0</v>
      </c>
      <c r="BX9" s="130">
        <f t="shared" ref="BX9" si="41">BX10+BX27</f>
        <v>0</v>
      </c>
      <c r="BY9" s="130">
        <f t="shared" si="37"/>
        <v>0</v>
      </c>
      <c r="BZ9" s="130">
        <f t="shared" si="37"/>
        <v>0</v>
      </c>
      <c r="CA9" s="131">
        <f t="shared" ref="CA9:CB40" si="42">IF(W9=0,1,BY9/W9-1)</f>
        <v>1</v>
      </c>
      <c r="CB9" s="131">
        <f t="shared" si="42"/>
        <v>1</v>
      </c>
      <c r="CC9" s="130">
        <f>CC10+CC27</f>
        <v>0</v>
      </c>
      <c r="CD9" s="130">
        <f t="shared" ref="CD9" si="43">CD10+CD27</f>
        <v>0</v>
      </c>
      <c r="CE9" s="130">
        <f t="shared" si="37"/>
        <v>0</v>
      </c>
      <c r="CF9" s="130">
        <f t="shared" si="37"/>
        <v>0</v>
      </c>
      <c r="CG9" s="131">
        <f t="shared" ref="CG9:CH40" si="44">IF(AA9=0,1,CE9/AA9-1)</f>
        <v>1</v>
      </c>
      <c r="CH9" s="131">
        <f t="shared" si="44"/>
        <v>1</v>
      </c>
      <c r="CI9" s="130">
        <f>CI10+CI27</f>
        <v>0</v>
      </c>
      <c r="CJ9" s="130">
        <f t="shared" ref="CJ9" si="45">CJ10+CJ27</f>
        <v>0</v>
      </c>
      <c r="CK9" s="130">
        <f t="shared" si="37"/>
        <v>0</v>
      </c>
      <c r="CL9" s="130">
        <f t="shared" si="37"/>
        <v>0</v>
      </c>
      <c r="CM9" s="131">
        <f t="shared" ref="CM9:CN40" si="46">IF(AE9=0,1,CK9/AE9-1)</f>
        <v>1</v>
      </c>
      <c r="CN9" s="131">
        <f t="shared" si="46"/>
        <v>1</v>
      </c>
      <c r="CO9" s="130">
        <f>CO10+CO27</f>
        <v>0</v>
      </c>
      <c r="CP9" s="130">
        <f t="shared" ref="CP9" si="47">CP10+CP27</f>
        <v>0</v>
      </c>
      <c r="CQ9" s="130">
        <f t="shared" si="37"/>
        <v>0</v>
      </c>
      <c r="CR9" s="130">
        <f t="shared" si="37"/>
        <v>0</v>
      </c>
      <c r="CS9" s="131">
        <f t="shared" ref="CS9:CT40" si="48">IF(AI9=0,1,CQ9/AI9-1)</f>
        <v>1</v>
      </c>
      <c r="CT9" s="131">
        <f t="shared" si="48"/>
        <v>1</v>
      </c>
      <c r="CU9" s="130">
        <f>CU10+CU27</f>
        <v>0</v>
      </c>
      <c r="CV9" s="130">
        <f t="shared" ref="CV9" si="49">CV10+CV27</f>
        <v>0</v>
      </c>
      <c r="CW9" s="130">
        <f t="shared" si="37"/>
        <v>0</v>
      </c>
      <c r="CX9" s="130">
        <f t="shared" si="37"/>
        <v>0</v>
      </c>
      <c r="CY9" s="131">
        <f t="shared" ref="CY9:CZ40" si="50">IF(AM9=0,1,CW9/AM9-1)</f>
        <v>1</v>
      </c>
      <c r="CZ9" s="131">
        <f t="shared" si="50"/>
        <v>1</v>
      </c>
      <c r="DA9" s="130">
        <f>DA10+DA27</f>
        <v>0</v>
      </c>
      <c r="DB9" s="130">
        <f t="shared" ref="DB9" si="51">DB10+DB27</f>
        <v>0</v>
      </c>
      <c r="DC9" s="130">
        <f t="shared" si="37"/>
        <v>0</v>
      </c>
      <c r="DD9" s="130">
        <f t="shared" si="37"/>
        <v>0</v>
      </c>
      <c r="DE9" s="131">
        <f t="shared" ref="DE9:DF40" si="52">IF(AQ9=0,1,DC9/AQ9-1)</f>
        <v>1</v>
      </c>
      <c r="DF9" s="131">
        <f t="shared" si="52"/>
        <v>1</v>
      </c>
      <c r="DG9" s="130">
        <f>DG10+DG27</f>
        <v>0</v>
      </c>
      <c r="DH9" s="130">
        <f t="shared" ref="DH9" si="53">DH10+DH27</f>
        <v>0</v>
      </c>
      <c r="DI9" s="130">
        <f t="shared" si="37"/>
        <v>0</v>
      </c>
      <c r="DJ9" s="130">
        <f t="shared" si="37"/>
        <v>0</v>
      </c>
      <c r="DK9" s="131">
        <f t="shared" ref="DK9:DL40" si="54">IF(AU9=0,1,DI9/AU9-1)</f>
        <v>1</v>
      </c>
      <c r="DL9" s="131">
        <f t="shared" si="54"/>
        <v>1</v>
      </c>
      <c r="DM9" s="130">
        <f>DM10+DM27</f>
        <v>0</v>
      </c>
      <c r="DN9" s="130">
        <f t="shared" ref="DN9" si="55">DN10+DN27</f>
        <v>0</v>
      </c>
      <c r="DO9" s="130">
        <f>DO10+DO27</f>
        <v>0</v>
      </c>
      <c r="DP9" s="130">
        <f t="shared" ref="DP9" si="56">DP10+DP27</f>
        <v>0</v>
      </c>
      <c r="DQ9" s="130">
        <f>DQ10+DQ27</f>
        <v>0</v>
      </c>
      <c r="DR9" s="130">
        <f t="shared" ref="DR9" si="57">DR10+DR27</f>
        <v>0</v>
      </c>
      <c r="DS9" s="131">
        <f>IF($AY$9=0,1,DQ9/$AY$9-1)</f>
        <v>1</v>
      </c>
      <c r="DT9" s="131">
        <f>IF($AZ$9=0,1,DR9/$AZ$9-1)</f>
        <v>1</v>
      </c>
      <c r="DU9" s="131">
        <f t="shared" ref="DU9:DU63" si="58">IF($E9=0,1,DQ9/$E9-1)</f>
        <v>1</v>
      </c>
      <c r="DV9" s="131">
        <f t="shared" ref="DV9:DV63" si="59">IF($F9=0,1,DR9/$F9-1)</f>
        <v>1</v>
      </c>
      <c r="DW9" s="165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</row>
    <row r="10" spans="1:268" s="59" customFormat="1" ht="18" customHeight="1">
      <c r="A10" s="252" t="s">
        <v>30</v>
      </c>
      <c r="B10" s="253"/>
      <c r="C10" s="132">
        <f t="shared" ref="C10" si="60">C11+C13+C14+C15+C16+C17+C18+C19+C20+C21+C22+C23+C25+C26+C24</f>
        <v>0</v>
      </c>
      <c r="D10" s="132">
        <f t="shared" ref="D10" si="61">D11+D13+D14+D17+D18+D19+D20+D21+D22+D23+D25+D26+D24</f>
        <v>0</v>
      </c>
      <c r="E10" s="132">
        <f t="shared" ref="E10" si="62">E11+E13+E14+E15+E16+E17+E18+E19+E20+E21+E22+E23+E25+E26+E24</f>
        <v>0</v>
      </c>
      <c r="F10" s="132">
        <f t="shared" ref="F10" si="63">F11+F13+F14+F17+F18+F19+F20+F21+F22+F23+F25+F26+F24</f>
        <v>0</v>
      </c>
      <c r="G10" s="132">
        <f t="shared" ref="G10" si="64">G11+G13+G14+G15+G16+G17+G18+G19+G20+G21+G22+G23+G25+G26+G24</f>
        <v>0</v>
      </c>
      <c r="H10" s="132">
        <f t="shared" ref="H10" si="65">H11+H13+H14+H17+H18+H19+H20+H21+H22+H23+H25+H26+H24</f>
        <v>0</v>
      </c>
      <c r="I10" s="132">
        <f t="shared" ref="I10" si="66">I11+I13+I14+I15+I16+I17+I18+I19+I20+I21+I22+I23+I25+I26+I24</f>
        <v>0</v>
      </c>
      <c r="J10" s="132">
        <f t="shared" ref="J10" si="67">J11+J13+J14+J17+J18+J19+J20+J21+J22+J23+J25+J26+J24</f>
        <v>0</v>
      </c>
      <c r="K10" s="132">
        <f t="shared" ref="K10" si="68">K11+K13+K14+K15+K16+K17+K18+K19+K20+K21+K22+K23+K25+K26+K24</f>
        <v>0</v>
      </c>
      <c r="L10" s="132">
        <f t="shared" ref="L10" si="69">L11+L13+L14+L17+L18+L19+L20+L21+L22+L23+L25+L26+L24</f>
        <v>0</v>
      </c>
      <c r="M10" s="132">
        <f t="shared" ref="M10" si="70">M11+M13+M14+M15+M16+M17+M18+M19+M20+M21+M22+M23+M25+M26+M24</f>
        <v>0</v>
      </c>
      <c r="N10" s="132">
        <f t="shared" ref="N10" si="71">N11+N13+N14+N17+N18+N19+N20+N21+N22+N23+N25+N26+N24</f>
        <v>0</v>
      </c>
      <c r="O10" s="132">
        <f t="shared" ref="O10" si="72">O11+O13+O14+O15+O16+O17+O18+O19+O20+O21+O22+O23+O25+O26+O24</f>
        <v>0</v>
      </c>
      <c r="P10" s="132">
        <f t="shared" ref="P10" si="73">P11+P13+P14+P17+P18+P19+P20+P21+P22+P23+P25+P26+P24</f>
        <v>0</v>
      </c>
      <c r="Q10" s="132">
        <f t="shared" ref="Q10" si="74">Q11+Q13+Q14+Q15+Q16+Q17+Q18+Q19+Q20+Q21+Q22+Q23+Q25+Q26+Q24</f>
        <v>0</v>
      </c>
      <c r="R10" s="132">
        <f t="shared" ref="R10" si="75">R11+R13+R14+R17+R18+R19+R20+R21+R22+R23+R25+R26+R24</f>
        <v>0</v>
      </c>
      <c r="S10" s="132">
        <f t="shared" ref="S10" si="76">S11+S13+S14+S15+S16+S17+S18+S19+S20+S21+S22+S23+S25+S26+S24</f>
        <v>0</v>
      </c>
      <c r="T10" s="132">
        <f t="shared" ref="T10" si="77">T11+T13+T14+T17+T18+T19+T20+T21+T22+T23+T25+T26+T24</f>
        <v>0</v>
      </c>
      <c r="U10" s="132">
        <f t="shared" ref="U10" si="78">U11+U13+U14+U15+U16+U17+U18+U19+U20+U21+U22+U23+U25+U26+U24</f>
        <v>0</v>
      </c>
      <c r="V10" s="132">
        <f t="shared" ref="V10" si="79">V11+V13+V14+V17+V18+V19+V20+V21+V22+V23+V25+V26+V24</f>
        <v>0</v>
      </c>
      <c r="W10" s="132">
        <f t="shared" ref="W10" si="80">W11+W13+W14+W15+W16+W17+W18+W19+W20+W21+W22+W23+W25+W26+W24</f>
        <v>0</v>
      </c>
      <c r="X10" s="132">
        <f t="shared" ref="X10" si="81">X11+X13+X14+X17+X18+X19+X20+X21+X22+X23+X25+X26+X24</f>
        <v>0</v>
      </c>
      <c r="Y10" s="132">
        <f t="shared" ref="Y10" si="82">Y11+Y13+Y14+Y15+Y16+Y17+Y18+Y19+Y20+Y21+Y22+Y23+Y25+Y26+Y24</f>
        <v>0</v>
      </c>
      <c r="Z10" s="132">
        <f t="shared" ref="Z10" si="83">Z11+Z13+Z14+Z17+Z18+Z19+Z20+Z21+Z22+Z23+Z25+Z26+Z24</f>
        <v>0</v>
      </c>
      <c r="AA10" s="132">
        <f t="shared" ref="AA10" si="84">AA11+AA13+AA14+AA15+AA16+AA17+AA18+AA19+AA20+AA21+AA22+AA23+AA25+AA26+AA24</f>
        <v>0</v>
      </c>
      <c r="AB10" s="132">
        <f t="shared" ref="AB10" si="85">AB11+AB13+AB14+AB17+AB18+AB19+AB20+AB21+AB22+AB23+AB25+AB26+AB24</f>
        <v>0</v>
      </c>
      <c r="AC10" s="132">
        <f t="shared" ref="AC10" si="86">AC11+AC13+AC14+AC15+AC16+AC17+AC18+AC19+AC20+AC21+AC22+AC23+AC25+AC26+AC24</f>
        <v>0</v>
      </c>
      <c r="AD10" s="132">
        <f t="shared" ref="AD10" si="87">AD11+AD13+AD14+AD17+AD18+AD19+AD20+AD21+AD22+AD23+AD25+AD26+AD24</f>
        <v>0</v>
      </c>
      <c r="AE10" s="132">
        <f t="shared" ref="AE10" si="88">AE11+AE13+AE14+AE15+AE16+AE17+AE18+AE19+AE20+AE21+AE22+AE23+AE25+AE26+AE24</f>
        <v>0</v>
      </c>
      <c r="AF10" s="132">
        <f t="shared" ref="AF10" si="89">AF11+AF13+AF14+AF17+AF18+AF19+AF20+AF21+AF22+AF23+AF25+AF26+AF24</f>
        <v>0</v>
      </c>
      <c r="AG10" s="132">
        <f t="shared" ref="AG10" si="90">AG11+AG13+AG14+AG15+AG16+AG17+AG18+AG19+AG20+AG21+AG22+AG23+AG25+AG26+AG24</f>
        <v>0</v>
      </c>
      <c r="AH10" s="132">
        <f t="shared" ref="AH10" si="91">AH11+AH13+AH14+AH17+AH18+AH19+AH20+AH21+AH22+AH23+AH25+AH26+AH24</f>
        <v>0</v>
      </c>
      <c r="AI10" s="132">
        <f t="shared" ref="AI10" si="92">AI11+AI13+AI14+AI15+AI16+AI17+AI18+AI19+AI20+AI21+AI22+AI23+AI25+AI26+AI24</f>
        <v>0</v>
      </c>
      <c r="AJ10" s="132">
        <f t="shared" ref="AJ10" si="93">AJ11+AJ13+AJ14+AJ17+AJ18+AJ19+AJ20+AJ21+AJ22+AJ23+AJ25+AJ26+AJ24</f>
        <v>0</v>
      </c>
      <c r="AK10" s="132">
        <f t="shared" ref="AK10" si="94">AK11+AK13+AK14+AK15+AK16+AK17+AK18+AK19+AK20+AK21+AK22+AK23+AK25+AK26+AK24</f>
        <v>0</v>
      </c>
      <c r="AL10" s="132">
        <f t="shared" ref="AL10" si="95">AL11+AL13+AL14+AL17+AL18+AL19+AL20+AL21+AL22+AL23+AL25+AL26+AL24</f>
        <v>0</v>
      </c>
      <c r="AM10" s="132">
        <f t="shared" ref="AM10" si="96">AM11+AM13+AM14+AM15+AM16+AM17+AM18+AM19+AM20+AM21+AM22+AM23+AM25+AM26+AM24</f>
        <v>0</v>
      </c>
      <c r="AN10" s="132">
        <f t="shared" ref="AN10" si="97">AN11+AN13+AN14+AN17+AN18+AN19+AN20+AN21+AN22+AN23+AN25+AN26+AN24</f>
        <v>0</v>
      </c>
      <c r="AO10" s="132">
        <f t="shared" ref="AO10" si="98">AO11+AO13+AO14+AO15+AO16+AO17+AO18+AO19+AO20+AO21+AO22+AO23+AO25+AO26+AO24</f>
        <v>0</v>
      </c>
      <c r="AP10" s="132">
        <f t="shared" ref="AP10" si="99">AP11+AP13+AP14+AP17+AP18+AP19+AP20+AP21+AP22+AP23+AP25+AP26+AP24</f>
        <v>0</v>
      </c>
      <c r="AQ10" s="132">
        <f t="shared" ref="AQ10" si="100">AQ11+AQ13+AQ14+AQ15+AQ16+AQ17+AQ18+AQ19+AQ20+AQ21+AQ22+AQ23+AQ25+AQ26+AQ24</f>
        <v>0</v>
      </c>
      <c r="AR10" s="132">
        <f t="shared" ref="AR10" si="101">AR11+AR13+AR14+AR17+AR18+AR19+AR20+AR21+AR22+AR23+AR25+AR26+AR24</f>
        <v>0</v>
      </c>
      <c r="AS10" s="132">
        <f t="shared" ref="AS10" si="102">AS11+AS13+AS14+AS15+AS16+AS17+AS18+AS19+AS20+AS21+AS22+AS23+AS25+AS26+AS24</f>
        <v>0</v>
      </c>
      <c r="AT10" s="132">
        <f t="shared" ref="AT10" si="103">AT11+AT13+AT14+AT17+AT18+AT19+AT20+AT21+AT22+AT23+AT25+AT26+AT24</f>
        <v>0</v>
      </c>
      <c r="AU10" s="132">
        <f t="shared" ref="AU10" si="104">AU11+AU13+AU14+AU15+AU16+AU17+AU18+AU19+AU20+AU21+AU22+AU23+AU25+AU26+AU24</f>
        <v>0</v>
      </c>
      <c r="AV10" s="132">
        <f t="shared" ref="AV10" si="105">AV11+AV13+AV14+AV17+AV18+AV19+AV20+AV21+AV22+AV23+AV25+AV26+AV24</f>
        <v>0</v>
      </c>
      <c r="AW10" s="132">
        <f t="shared" ref="AW10" si="106">AW11+AW13+AW14+AW15+AW16+AW17+AW18+AW19+AW20+AW21+AW22+AW23+AW25+AW26+AW24</f>
        <v>0</v>
      </c>
      <c r="AX10" s="132">
        <f t="shared" ref="AX10" si="107">AX11+AX13+AX14+AX17+AX18+AX19+AX20+AX21+AX22+AX23+AX25+AX26+AX24</f>
        <v>0</v>
      </c>
      <c r="AY10" s="132">
        <f t="shared" ref="AY10" si="108">AY11+AY13+AY14+AY15+AY16+AY17+AY18+AY19+AY20+AY21+AY22+AY23+AY25+AY26+AY24</f>
        <v>0</v>
      </c>
      <c r="AZ10" s="132">
        <f t="shared" ref="AZ10" si="109">AZ11+AZ13+AZ14+AZ17+AZ18+AZ19+AZ20+AZ21+AZ22+AZ23+AZ25+AZ26+AZ24</f>
        <v>0</v>
      </c>
      <c r="BA10" s="133">
        <f>IF(E10=0,1,AY10/E10-1)</f>
        <v>1</v>
      </c>
      <c r="BB10" s="133">
        <f>IF(F10=0,1,AZ10/F10-1)</f>
        <v>1</v>
      </c>
      <c r="BC10" s="132">
        <f t="shared" ref="BC10" si="110">BC11+BC13+BC14+BC15+BC16+BC17+BC18+BC19+BC20+BC21+BC22+BC23+BC25+BC26+BC24</f>
        <v>0</v>
      </c>
      <c r="BD10" s="132">
        <f t="shared" ref="BD10" si="111">BD11+BD13+BD14+BD17+BD18+BD19+BD20+BD21+BD22+BD23+BD25+BD26+BD24</f>
        <v>0</v>
      </c>
      <c r="BE10" s="132">
        <f t="shared" ref="BE10" si="112">BE11+BE13+BE14+BE15+BE16+BE17+BE18+BE19+BE20+BE21+BE22+BE23+BE25+BE26+BE24</f>
        <v>0</v>
      </c>
      <c r="BF10" s="132">
        <f t="shared" ref="BF10" si="113">BF11+BF13+BF14+BF17+BF18+BF19+BF20+BF21+BF22+BF23+BF25+BF26+BF24</f>
        <v>0</v>
      </c>
      <c r="BG10" s="132">
        <f t="shared" ref="BG10:DI10" si="114">BG11+BG13+BG14+BG15+BG16+BG17+BG18+BG19+BG20+BG21+BG22+BG23+BG25+BG26+BG24</f>
        <v>0</v>
      </c>
      <c r="BH10" s="132">
        <f t="shared" ref="BH10" si="115">BH11+BH13+BH14+BH17+BH18+BH19+BH20+BH21+BH22+BH23+BH25+BH26+BH24</f>
        <v>0</v>
      </c>
      <c r="BI10" s="133">
        <f>IF(K10=0,1,BG10/K10-1)</f>
        <v>1</v>
      </c>
      <c r="BJ10" s="133">
        <f>IF(L10=0,1,BH10/L10-1)</f>
        <v>1</v>
      </c>
      <c r="BK10" s="132">
        <f t="shared" ref="BK10" si="116">BK11+BK13+BK14+BK15+BK16+BK17+BK18+BK19+BK20+BK21+BK22+BK23+BK25+BK26+BK24</f>
        <v>0</v>
      </c>
      <c r="BL10" s="132">
        <f t="shared" ref="BL10" si="117">BL11+BL13+BL14+BL17+BL18+BL19+BL20+BL21+BL22+BL23+BL25+BL26+BL24</f>
        <v>0</v>
      </c>
      <c r="BM10" s="132">
        <f t="shared" si="114"/>
        <v>0</v>
      </c>
      <c r="BN10" s="132">
        <f t="shared" ref="BN10" si="118">BN11+BN13+BN14+BN17+BN18+BN19+BN20+BN21+BN22+BN23+BN25+BN26+BN24</f>
        <v>0</v>
      </c>
      <c r="BO10" s="133">
        <f t="shared" si="38"/>
        <v>1</v>
      </c>
      <c r="BP10" s="133">
        <f t="shared" si="38"/>
        <v>1</v>
      </c>
      <c r="BQ10" s="132">
        <f t="shared" ref="BQ10" si="119">BQ11+BQ13+BQ14+BQ15+BQ16+BQ17+BQ18+BQ19+BQ20+BQ21+BQ22+BQ23+BQ25+BQ26+BQ24</f>
        <v>0</v>
      </c>
      <c r="BR10" s="132">
        <f t="shared" ref="BR10" si="120">BR11+BR13+BR14+BR17+BR18+BR19+BR20+BR21+BR22+BR23+BR25+BR26+BR24</f>
        <v>0</v>
      </c>
      <c r="BS10" s="132">
        <f t="shared" si="114"/>
        <v>0</v>
      </c>
      <c r="BT10" s="132">
        <f t="shared" ref="BT10" si="121">BT11+BT13+BT14+BT17+BT18+BT19+BT20+BT21+BT22+BT23+BT25+BT26+BT24</f>
        <v>0</v>
      </c>
      <c r="BU10" s="133">
        <f t="shared" si="40"/>
        <v>1</v>
      </c>
      <c r="BV10" s="133">
        <f t="shared" si="40"/>
        <v>1</v>
      </c>
      <c r="BW10" s="132">
        <f t="shared" ref="BW10" si="122">BW11+BW13+BW14+BW15+BW16+BW17+BW18+BW19+BW20+BW21+BW22+BW23+BW25+BW26+BW24</f>
        <v>0</v>
      </c>
      <c r="BX10" s="132">
        <f t="shared" ref="BX10" si="123">BX11+BX13+BX14+BX17+BX18+BX19+BX20+BX21+BX22+BX23+BX25+BX26+BX24</f>
        <v>0</v>
      </c>
      <c r="BY10" s="132">
        <f t="shared" si="114"/>
        <v>0</v>
      </c>
      <c r="BZ10" s="132">
        <f t="shared" ref="BZ10" si="124">BZ11+BZ13+BZ14+BZ17+BZ18+BZ19+BZ20+BZ21+BZ22+BZ23+BZ25+BZ26+BZ24</f>
        <v>0</v>
      </c>
      <c r="CA10" s="133">
        <f t="shared" si="42"/>
        <v>1</v>
      </c>
      <c r="CB10" s="133">
        <f t="shared" si="42"/>
        <v>1</v>
      </c>
      <c r="CC10" s="132">
        <f t="shared" ref="CC10" si="125">CC11+CC13+CC14+CC15+CC16+CC17+CC18+CC19+CC20+CC21+CC22+CC23+CC25+CC26+CC24</f>
        <v>0</v>
      </c>
      <c r="CD10" s="132">
        <f t="shared" ref="CD10" si="126">CD11+CD13+CD14+CD17+CD18+CD19+CD20+CD21+CD22+CD23+CD25+CD26+CD24</f>
        <v>0</v>
      </c>
      <c r="CE10" s="132">
        <f t="shared" si="114"/>
        <v>0</v>
      </c>
      <c r="CF10" s="132">
        <f t="shared" ref="CF10" si="127">CF11+CF13+CF14+CF17+CF18+CF19+CF20+CF21+CF22+CF23+CF25+CF26+CF24</f>
        <v>0</v>
      </c>
      <c r="CG10" s="133">
        <f t="shared" si="44"/>
        <v>1</v>
      </c>
      <c r="CH10" s="133">
        <f>IF(AB10=0,1,CF10/AB10-1)</f>
        <v>1</v>
      </c>
      <c r="CI10" s="132">
        <f t="shared" ref="CI10" si="128">CI11+CI13+CI14+CI15+CI16+CI17+CI18+CI19+CI20+CI21+CI22+CI23+CI25+CI26+CI24</f>
        <v>0</v>
      </c>
      <c r="CJ10" s="132">
        <f t="shared" ref="CJ10" si="129">CJ11+CJ13+CJ14+CJ17+CJ18+CJ19+CJ20+CJ21+CJ22+CJ23+CJ25+CJ26+CJ24</f>
        <v>0</v>
      </c>
      <c r="CK10" s="132">
        <f t="shared" si="114"/>
        <v>0</v>
      </c>
      <c r="CL10" s="132">
        <f t="shared" ref="CL10" si="130">CL11+CL13+CL14+CL17+CL18+CL19+CL20+CL21+CL22+CL23+CL25+CL26+CL24</f>
        <v>0</v>
      </c>
      <c r="CM10" s="133">
        <f t="shared" si="46"/>
        <v>1</v>
      </c>
      <c r="CN10" s="133">
        <f t="shared" si="46"/>
        <v>1</v>
      </c>
      <c r="CO10" s="132">
        <f t="shared" ref="CO10" si="131">CO11+CO13+CO14+CO15+CO16+CO17+CO18+CO19+CO20+CO21+CO22+CO23+CO25+CO26+CO24</f>
        <v>0</v>
      </c>
      <c r="CP10" s="132">
        <f t="shared" ref="CP10" si="132">CP11+CP13+CP14+CP17+CP18+CP19+CP20+CP21+CP22+CP23+CP25+CP26+CP24</f>
        <v>0</v>
      </c>
      <c r="CQ10" s="132">
        <f t="shared" si="114"/>
        <v>0</v>
      </c>
      <c r="CR10" s="132">
        <f t="shared" ref="CR10" si="133">CR11+CR13+CR14+CR17+CR18+CR19+CR20+CR21+CR22+CR23+CR25+CR26+CR24</f>
        <v>0</v>
      </c>
      <c r="CS10" s="133">
        <f t="shared" si="48"/>
        <v>1</v>
      </c>
      <c r="CT10" s="133">
        <f t="shared" si="48"/>
        <v>1</v>
      </c>
      <c r="CU10" s="132">
        <f t="shared" ref="CU10" si="134">CU11+CU13+CU14+CU15+CU16+CU17+CU18+CU19+CU20+CU21+CU22+CU23+CU25+CU26+CU24</f>
        <v>0</v>
      </c>
      <c r="CV10" s="132">
        <f t="shared" ref="CV10" si="135">CV11+CV13+CV14+CV17+CV18+CV19+CV20+CV21+CV22+CV23+CV25+CV26+CV24</f>
        <v>0</v>
      </c>
      <c r="CW10" s="132">
        <f t="shared" si="114"/>
        <v>0</v>
      </c>
      <c r="CX10" s="132">
        <f t="shared" ref="CX10" si="136">CX11+CX13+CX14+CX17+CX18+CX19+CX20+CX21+CX22+CX23+CX25+CX26+CX24</f>
        <v>0</v>
      </c>
      <c r="CY10" s="133">
        <f t="shared" si="50"/>
        <v>1</v>
      </c>
      <c r="CZ10" s="133">
        <f t="shared" si="50"/>
        <v>1</v>
      </c>
      <c r="DA10" s="132">
        <f t="shared" ref="DA10" si="137">DA11+DA13+DA14+DA15+DA16+DA17+DA18+DA19+DA20+DA21+DA22+DA23+DA25+DA26+DA24</f>
        <v>0</v>
      </c>
      <c r="DB10" s="132">
        <f t="shared" ref="DB10" si="138">DB11+DB13+DB14+DB17+DB18+DB19+DB20+DB21+DB22+DB23+DB25+DB26+DB24</f>
        <v>0</v>
      </c>
      <c r="DC10" s="132">
        <f t="shared" si="114"/>
        <v>0</v>
      </c>
      <c r="DD10" s="132">
        <f t="shared" ref="DD10" si="139">DD11+DD13+DD14+DD17+DD18+DD19+DD20+DD21+DD22+DD23+DD25+DD26+DD24</f>
        <v>0</v>
      </c>
      <c r="DE10" s="133">
        <f t="shared" si="52"/>
        <v>1</v>
      </c>
      <c r="DF10" s="133">
        <f t="shared" si="52"/>
        <v>1</v>
      </c>
      <c r="DG10" s="132">
        <f t="shared" ref="DG10" si="140">DG11+DG13+DG14+DG15+DG16+DG17+DG18+DG19+DG20+DG21+DG22+DG23+DG25+DG26+DG24</f>
        <v>0</v>
      </c>
      <c r="DH10" s="132">
        <f t="shared" ref="DH10" si="141">DH11+DH13+DH14+DH17+DH18+DH19+DH20+DH21+DH22+DH23+DH25+DH26+DH24</f>
        <v>0</v>
      </c>
      <c r="DI10" s="132">
        <f t="shared" si="114"/>
        <v>0</v>
      </c>
      <c r="DJ10" s="132">
        <f t="shared" ref="DJ10" si="142">DJ11+DJ13+DJ14+DJ17+DJ18+DJ19+DJ20+DJ21+DJ22+DJ23+DJ25+DJ26+DJ24</f>
        <v>0</v>
      </c>
      <c r="DK10" s="133">
        <f t="shared" si="54"/>
        <v>1</v>
      </c>
      <c r="DL10" s="133">
        <f t="shared" si="54"/>
        <v>1</v>
      </c>
      <c r="DM10" s="132">
        <f t="shared" ref="DM10" si="143">DM11+DM13+DM14+DM15+DM16+DM17+DM18+DM19+DM20+DM21+DM22+DM23+DM25+DM26+DM24</f>
        <v>0</v>
      </c>
      <c r="DN10" s="132">
        <f t="shared" ref="DN10" si="144">DN11+DN13+DN14+DN17+DN18+DN19+DN20+DN21+DN22+DN23+DN25+DN26+DN24</f>
        <v>0</v>
      </c>
      <c r="DO10" s="132">
        <f t="shared" ref="DO10" si="145">DO11+DO13+DO14+DO15+DO16+DO17+DO18+DO19+DO20+DO21+DO22+DO23+DO25+DO26+DO24</f>
        <v>0</v>
      </c>
      <c r="DP10" s="132">
        <f t="shared" ref="DP10" si="146">DP11+DP13+DP14+DP17+DP18+DP19+DP20+DP21+DP22+DP23+DP25+DP26+DP24</f>
        <v>0</v>
      </c>
      <c r="DQ10" s="132">
        <f t="shared" ref="DQ10" si="147">DQ11+DQ13+DQ14+DQ15+DQ16+DQ17+DQ18+DQ19+DQ20+DQ21+DQ22+DQ23+DQ25+DQ26+DQ24</f>
        <v>0</v>
      </c>
      <c r="DR10" s="132">
        <f t="shared" ref="DR10" si="148">DR11+DR13+DR14+DR17+DR18+DR19+DR20+DR21+DR22+DR23+DR25+DR26+DR24</f>
        <v>0</v>
      </c>
      <c r="DS10" s="133">
        <f>IF($AY$10=0,1,DQ10/$AY$10-1)</f>
        <v>1</v>
      </c>
      <c r="DT10" s="133">
        <f>IF($AZ$10=0,1,DR10/$AZ$10-1)</f>
        <v>1</v>
      </c>
      <c r="DU10" s="133">
        <f t="shared" si="58"/>
        <v>1</v>
      </c>
      <c r="DV10" s="133">
        <f t="shared" si="59"/>
        <v>1</v>
      </c>
      <c r="DW10" s="166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</row>
    <row r="11" spans="1:268" s="62" customFormat="1" ht="18" customHeight="1">
      <c r="A11" s="250" t="s">
        <v>31</v>
      </c>
      <c r="B11" s="251"/>
      <c r="C11" s="134">
        <f>'бюджет округа (района)'!C11+'бюджеты поселений'!C11</f>
        <v>0</v>
      </c>
      <c r="D11" s="134">
        <f>'бюджет округа (района)'!C11</f>
        <v>0</v>
      </c>
      <c r="E11" s="134">
        <f>G11+I11+M11+Q11+U11+Y11+AC11+AG11+AK11+AO11+AS11+AW11</f>
        <v>0</v>
      </c>
      <c r="F11" s="134">
        <f>H11+J11+N11+R11+V11+Z11+AD11+AH11+AL11+AP11+AT11+AX11</f>
        <v>0</v>
      </c>
      <c r="G11" s="134">
        <f>'бюджет округа (района)'!E11+'бюджеты поселений'!E11</f>
        <v>0</v>
      </c>
      <c r="H11" s="134">
        <f>'бюджет округа (района)'!E11</f>
        <v>0</v>
      </c>
      <c r="I11" s="134">
        <f>'бюджет округа (района)'!F11+'бюджеты поселений'!F11</f>
        <v>0</v>
      </c>
      <c r="J11" s="134">
        <f>'бюджет округа (района)'!F11</f>
        <v>0</v>
      </c>
      <c r="K11" s="134">
        <f>G11+I11</f>
        <v>0</v>
      </c>
      <c r="L11" s="134">
        <f>H11+J11</f>
        <v>0</v>
      </c>
      <c r="M11" s="134">
        <f>'бюджет округа (района)'!H11+'бюджеты поселений'!H11</f>
        <v>0</v>
      </c>
      <c r="N11" s="134">
        <f>'бюджет округа (района)'!H11</f>
        <v>0</v>
      </c>
      <c r="O11" s="134">
        <f>K11+M11</f>
        <v>0</v>
      </c>
      <c r="P11" s="134">
        <f>L11+N11</f>
        <v>0</v>
      </c>
      <c r="Q11" s="134">
        <f>'бюджет округа (района)'!J11+'бюджеты поселений'!J11</f>
        <v>0</v>
      </c>
      <c r="R11" s="134">
        <f>'бюджет округа (района)'!J11</f>
        <v>0</v>
      </c>
      <c r="S11" s="134">
        <f>O11+Q11</f>
        <v>0</v>
      </c>
      <c r="T11" s="134">
        <f>P11+R11</f>
        <v>0</v>
      </c>
      <c r="U11" s="134">
        <f>'бюджет округа (района)'!L11+'бюджеты поселений'!L11</f>
        <v>0</v>
      </c>
      <c r="V11" s="134">
        <f>'бюджет округа (района)'!L11</f>
        <v>0</v>
      </c>
      <c r="W11" s="134">
        <f>S11+U11</f>
        <v>0</v>
      </c>
      <c r="X11" s="134">
        <f>T11+V11</f>
        <v>0</v>
      </c>
      <c r="Y11" s="134">
        <f>'бюджет округа (района)'!N11+'бюджеты поселений'!N11</f>
        <v>0</v>
      </c>
      <c r="Z11" s="134">
        <f>'бюджет округа (района)'!N11</f>
        <v>0</v>
      </c>
      <c r="AA11" s="134">
        <f>W11+Y11</f>
        <v>0</v>
      </c>
      <c r="AB11" s="134">
        <f>X11+Z11</f>
        <v>0</v>
      </c>
      <c r="AC11" s="134">
        <f>'бюджет округа (района)'!P11+'бюджеты поселений'!P11</f>
        <v>0</v>
      </c>
      <c r="AD11" s="134">
        <f>'бюджет округа (района)'!P11</f>
        <v>0</v>
      </c>
      <c r="AE11" s="134">
        <f>AA11+AC11</f>
        <v>0</v>
      </c>
      <c r="AF11" s="134">
        <f>AB11+AD11</f>
        <v>0</v>
      </c>
      <c r="AG11" s="134">
        <f>'бюджет округа (района)'!R11+'бюджеты поселений'!R11</f>
        <v>0</v>
      </c>
      <c r="AH11" s="134">
        <f>'бюджет округа (района)'!R11</f>
        <v>0</v>
      </c>
      <c r="AI11" s="134">
        <f>AE11+AG11</f>
        <v>0</v>
      </c>
      <c r="AJ11" s="134">
        <f>AF11+AH11</f>
        <v>0</v>
      </c>
      <c r="AK11" s="134">
        <f>'бюджет округа (района)'!T11+'бюджеты поселений'!T11</f>
        <v>0</v>
      </c>
      <c r="AL11" s="134">
        <f>'бюджет округа (района)'!T11</f>
        <v>0</v>
      </c>
      <c r="AM11" s="134">
        <f>AI11+AK11</f>
        <v>0</v>
      </c>
      <c r="AN11" s="134">
        <f>AJ11+AL11</f>
        <v>0</v>
      </c>
      <c r="AO11" s="134">
        <f>'бюджет округа (района)'!V11+'бюджеты поселений'!V11</f>
        <v>0</v>
      </c>
      <c r="AP11" s="134">
        <f>'бюджет округа (района)'!V11</f>
        <v>0</v>
      </c>
      <c r="AQ11" s="134">
        <f>AM11+AO11</f>
        <v>0</v>
      </c>
      <c r="AR11" s="134">
        <f>AN11+AP11</f>
        <v>0</v>
      </c>
      <c r="AS11" s="134">
        <f>'бюджет округа (района)'!X11+'бюджеты поселений'!X11</f>
        <v>0</v>
      </c>
      <c r="AT11" s="134">
        <f>'бюджет округа (района)'!X11</f>
        <v>0</v>
      </c>
      <c r="AU11" s="134">
        <f>AQ11+AS11</f>
        <v>0</v>
      </c>
      <c r="AV11" s="134">
        <f>AR11+AT11</f>
        <v>0</v>
      </c>
      <c r="AW11" s="134">
        <f>'бюджет округа (района)'!Z11+'бюджеты поселений'!Z11</f>
        <v>0</v>
      </c>
      <c r="AX11" s="134">
        <f>'бюджет округа (района)'!Z11</f>
        <v>0</v>
      </c>
      <c r="AY11" s="134">
        <f>'бюджет округа (района)'!AA11+'бюджеты поселений'!AA11</f>
        <v>0</v>
      </c>
      <c r="AZ11" s="134">
        <f>'бюджет округа (района)'!AA11</f>
        <v>0</v>
      </c>
      <c r="BA11" s="135">
        <f t="shared" ref="BA11:BB26" si="149">IF(E11=0,1,AY11/E11-1)</f>
        <v>1</v>
      </c>
      <c r="BB11" s="135">
        <f t="shared" si="149"/>
        <v>1</v>
      </c>
      <c r="BC11" s="134">
        <f>'бюджет округа (района)'!AC11+'бюджеты поселений'!AC11</f>
        <v>0</v>
      </c>
      <c r="BD11" s="134">
        <f>'бюджет округа (района)'!AC11</f>
        <v>0</v>
      </c>
      <c r="BE11" s="134">
        <f>'бюджет округа (района)'!AD11+'бюджеты поселений'!AD11</f>
        <v>0</v>
      </c>
      <c r="BF11" s="134">
        <f>'бюджет округа (района)'!AD11</f>
        <v>0</v>
      </c>
      <c r="BG11" s="134">
        <f>BC11+BE11</f>
        <v>0</v>
      </c>
      <c r="BH11" s="134">
        <f>BD11+BF11</f>
        <v>0</v>
      </c>
      <c r="BI11" s="135">
        <f t="shared" si="36"/>
        <v>1</v>
      </c>
      <c r="BJ11" s="135">
        <f t="shared" si="36"/>
        <v>1</v>
      </c>
      <c r="BK11" s="134">
        <f>'бюджет округа (района)'!AG11+'бюджеты поселений'!AG11</f>
        <v>0</v>
      </c>
      <c r="BL11" s="134">
        <f>'бюджет округа (района)'!AG11</f>
        <v>0</v>
      </c>
      <c r="BM11" s="134">
        <f>BG11+BK11</f>
        <v>0</v>
      </c>
      <c r="BN11" s="134">
        <f>BH11+BL11</f>
        <v>0</v>
      </c>
      <c r="BO11" s="135">
        <f t="shared" si="38"/>
        <v>1</v>
      </c>
      <c r="BP11" s="135">
        <f t="shared" si="38"/>
        <v>1</v>
      </c>
      <c r="BQ11" s="134">
        <f>'бюджет округа (района)'!AJ11+'бюджеты поселений'!AJ11</f>
        <v>0</v>
      </c>
      <c r="BR11" s="134">
        <f>'бюджет округа (района)'!AJ11</f>
        <v>0</v>
      </c>
      <c r="BS11" s="134">
        <f>BM11+BQ11</f>
        <v>0</v>
      </c>
      <c r="BT11" s="134">
        <f>BN11+BR11</f>
        <v>0</v>
      </c>
      <c r="BU11" s="135">
        <f t="shared" si="40"/>
        <v>1</v>
      </c>
      <c r="BV11" s="135">
        <f t="shared" si="40"/>
        <v>1</v>
      </c>
      <c r="BW11" s="134">
        <f>'бюджет округа (района)'!AM11+'бюджеты поселений'!AM11</f>
        <v>0</v>
      </c>
      <c r="BX11" s="134">
        <f>'бюджет округа (района)'!AM11</f>
        <v>0</v>
      </c>
      <c r="BY11" s="134">
        <f>BS11+BW11</f>
        <v>0</v>
      </c>
      <c r="BZ11" s="134">
        <f>BT11+BX11</f>
        <v>0</v>
      </c>
      <c r="CA11" s="135">
        <f t="shared" si="42"/>
        <v>1</v>
      </c>
      <c r="CB11" s="135">
        <f t="shared" si="42"/>
        <v>1</v>
      </c>
      <c r="CC11" s="134">
        <f>'бюджет округа (района)'!AP11+'бюджеты поселений'!AP11</f>
        <v>0</v>
      </c>
      <c r="CD11" s="134">
        <f>'бюджет округа (района)'!AP11</f>
        <v>0</v>
      </c>
      <c r="CE11" s="134">
        <f>BY11+CC11</f>
        <v>0</v>
      </c>
      <c r="CF11" s="134">
        <f>BZ11+CD11</f>
        <v>0</v>
      </c>
      <c r="CG11" s="135">
        <f t="shared" si="44"/>
        <v>1</v>
      </c>
      <c r="CH11" s="135">
        <f t="shared" si="44"/>
        <v>1</v>
      </c>
      <c r="CI11" s="134">
        <f>'бюджет округа (района)'!AS11+'бюджеты поселений'!AS11</f>
        <v>0</v>
      </c>
      <c r="CJ11" s="134">
        <f>'бюджет округа (района)'!AS11</f>
        <v>0</v>
      </c>
      <c r="CK11" s="134">
        <f>CE11+CI11</f>
        <v>0</v>
      </c>
      <c r="CL11" s="134">
        <f>CF11+CJ11</f>
        <v>0</v>
      </c>
      <c r="CM11" s="135">
        <f t="shared" si="46"/>
        <v>1</v>
      </c>
      <c r="CN11" s="135">
        <f t="shared" si="46"/>
        <v>1</v>
      </c>
      <c r="CO11" s="134">
        <f>'бюджет округа (района)'!AV11+'бюджеты поселений'!AV11</f>
        <v>0</v>
      </c>
      <c r="CP11" s="134">
        <f>'бюджет округа (района)'!AV11</f>
        <v>0</v>
      </c>
      <c r="CQ11" s="134">
        <f>CK11+CO11</f>
        <v>0</v>
      </c>
      <c r="CR11" s="134">
        <f>CL11+CP11</f>
        <v>0</v>
      </c>
      <c r="CS11" s="135">
        <f t="shared" si="48"/>
        <v>1</v>
      </c>
      <c r="CT11" s="135">
        <f>IF(AJ11=0,1,CR11/AJ11-1)</f>
        <v>1</v>
      </c>
      <c r="CU11" s="134">
        <f>'бюджет округа (района)'!AY11+'бюджеты поселений'!AY11</f>
        <v>0</v>
      </c>
      <c r="CV11" s="134">
        <f>'бюджет округа (района)'!AY11</f>
        <v>0</v>
      </c>
      <c r="CW11" s="134">
        <f>CQ11+CU11</f>
        <v>0</v>
      </c>
      <c r="CX11" s="134">
        <f>CR11+CV11</f>
        <v>0</v>
      </c>
      <c r="CY11" s="135">
        <f t="shared" si="50"/>
        <v>1</v>
      </c>
      <c r="CZ11" s="135">
        <f t="shared" si="50"/>
        <v>1</v>
      </c>
      <c r="DA11" s="134">
        <f>'бюджет округа (района)'!BB11+'бюджеты поселений'!BB11</f>
        <v>0</v>
      </c>
      <c r="DB11" s="134">
        <f>'бюджет округа (района)'!BB11</f>
        <v>0</v>
      </c>
      <c r="DC11" s="134">
        <f>CW11+DA11</f>
        <v>0</v>
      </c>
      <c r="DD11" s="134">
        <f>CX11+DB11</f>
        <v>0</v>
      </c>
      <c r="DE11" s="135">
        <f t="shared" si="52"/>
        <v>1</v>
      </c>
      <c r="DF11" s="135">
        <f t="shared" si="52"/>
        <v>1</v>
      </c>
      <c r="DG11" s="134">
        <f>'бюджет округа (района)'!BE11+'бюджеты поселений'!BE11</f>
        <v>0</v>
      </c>
      <c r="DH11" s="134">
        <f>'бюджет округа (района)'!BE11</f>
        <v>0</v>
      </c>
      <c r="DI11" s="134">
        <f>DC11+DG11</f>
        <v>0</v>
      </c>
      <c r="DJ11" s="134">
        <f>DD11+DH11</f>
        <v>0</v>
      </c>
      <c r="DK11" s="135">
        <f>IF(AU11=0,1,DI11/AU11-1)</f>
        <v>1</v>
      </c>
      <c r="DL11" s="135">
        <f>IF(AV11=0,1,DJ11/AV11-1)</f>
        <v>1</v>
      </c>
      <c r="DM11" s="134">
        <f>'бюджет округа (района)'!BH11+'бюджеты поселений'!BH11</f>
        <v>0</v>
      </c>
      <c r="DN11" s="134">
        <f>'бюджет округа (района)'!BH11</f>
        <v>0</v>
      </c>
      <c r="DO11" s="134">
        <f>'бюджет округа (района)'!BI11+'бюджеты поселений'!BI11</f>
        <v>0</v>
      </c>
      <c r="DP11" s="134">
        <f>'бюджет округа (района)'!BI11</f>
        <v>0</v>
      </c>
      <c r="DQ11" s="134">
        <f>'бюджет округа (района)'!BJ11+'бюджеты поселений'!BJ11</f>
        <v>0</v>
      </c>
      <c r="DR11" s="134">
        <f>'бюджет округа (района)'!BJ11</f>
        <v>0</v>
      </c>
      <c r="DS11" s="135">
        <f>IF($AY$11=0,1,DQ11/$AY$11-1)</f>
        <v>1</v>
      </c>
      <c r="DT11" s="135">
        <f>IF($AZ$11=0,1,DR11/$AZ$11-1)</f>
        <v>1</v>
      </c>
      <c r="DU11" s="135">
        <f t="shared" si="58"/>
        <v>1</v>
      </c>
      <c r="DV11" s="135">
        <f t="shared" si="59"/>
        <v>1</v>
      </c>
      <c r="DW11" s="167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136" t="s">
        <v>130</v>
      </c>
      <c r="B12" s="113" t="s">
        <v>128</v>
      </c>
      <c r="C12" s="134">
        <f>'бюджет округа (района)'!C12+'бюджеты поселений'!C12</f>
        <v>0</v>
      </c>
      <c r="D12" s="134">
        <f>'бюджет округа (района)'!C12</f>
        <v>0</v>
      </c>
      <c r="E12" s="134">
        <f t="shared" ref="E12:F36" si="150">G12+I12+M12+Q12+U12+Y12+AC12+AG12+AK12+AO12+AS12+AW12</f>
        <v>0</v>
      </c>
      <c r="F12" s="134">
        <f>H12+J12+N12+R12+V12+Z12+AD12+AH12+AL12+AP12+AT12+AX12</f>
        <v>0</v>
      </c>
      <c r="G12" s="134">
        <f>'бюджет округа (района)'!E12+'бюджеты поселений'!E12</f>
        <v>0</v>
      </c>
      <c r="H12" s="134">
        <f>'бюджет округа (района)'!E12</f>
        <v>0</v>
      </c>
      <c r="I12" s="134">
        <f>'бюджет округа (района)'!F12+'бюджеты поселений'!F12</f>
        <v>0</v>
      </c>
      <c r="J12" s="134">
        <f>'бюджет округа (района)'!F12</f>
        <v>0</v>
      </c>
      <c r="K12" s="134">
        <f t="shared" ref="K12:L39" si="151">G12+I12</f>
        <v>0</v>
      </c>
      <c r="L12" s="134">
        <f t="shared" si="151"/>
        <v>0</v>
      </c>
      <c r="M12" s="134">
        <f>'бюджет округа (района)'!H12+'бюджеты поселений'!H12</f>
        <v>0</v>
      </c>
      <c r="N12" s="134">
        <f>'бюджет округа (района)'!H12</f>
        <v>0</v>
      </c>
      <c r="O12" s="134">
        <f t="shared" ref="O12:P42" si="152">K12+M12</f>
        <v>0</v>
      </c>
      <c r="P12" s="134">
        <f t="shared" si="152"/>
        <v>0</v>
      </c>
      <c r="Q12" s="134">
        <f>'бюджет округа (района)'!J12+'бюджеты поселений'!J12</f>
        <v>0</v>
      </c>
      <c r="R12" s="134">
        <f>'бюджет округа (района)'!J12</f>
        <v>0</v>
      </c>
      <c r="S12" s="134">
        <f t="shared" ref="S12:T42" si="153">O12+Q12</f>
        <v>0</v>
      </c>
      <c r="T12" s="134">
        <f t="shared" si="153"/>
        <v>0</v>
      </c>
      <c r="U12" s="134">
        <f>'бюджет округа (района)'!L12+'бюджеты поселений'!L12</f>
        <v>0</v>
      </c>
      <c r="V12" s="134">
        <f>'бюджет округа (района)'!L12</f>
        <v>0</v>
      </c>
      <c r="W12" s="134">
        <f t="shared" ref="W12:X42" si="154">S12+U12</f>
        <v>0</v>
      </c>
      <c r="X12" s="134">
        <f t="shared" si="154"/>
        <v>0</v>
      </c>
      <c r="Y12" s="134">
        <f>'бюджет округа (района)'!N12+'бюджеты поселений'!N12</f>
        <v>0</v>
      </c>
      <c r="Z12" s="134">
        <f>'бюджет округа (района)'!N12</f>
        <v>0</v>
      </c>
      <c r="AA12" s="134">
        <f t="shared" ref="AA12:AB42" si="155">W12+Y12</f>
        <v>0</v>
      </c>
      <c r="AB12" s="134">
        <f t="shared" si="155"/>
        <v>0</v>
      </c>
      <c r="AC12" s="134">
        <f>'бюджет округа (района)'!P12+'бюджеты поселений'!P12</f>
        <v>0</v>
      </c>
      <c r="AD12" s="134">
        <f>'бюджет округа (района)'!P12</f>
        <v>0</v>
      </c>
      <c r="AE12" s="134">
        <f t="shared" ref="AE12:AF42" si="156">AA12+AC12</f>
        <v>0</v>
      </c>
      <c r="AF12" s="134">
        <f t="shared" si="156"/>
        <v>0</v>
      </c>
      <c r="AG12" s="134">
        <f>'бюджет округа (района)'!R12+'бюджеты поселений'!R12</f>
        <v>0</v>
      </c>
      <c r="AH12" s="134">
        <f>'бюджет округа (района)'!R12</f>
        <v>0</v>
      </c>
      <c r="AI12" s="134">
        <f t="shared" ref="AI12:AJ26" si="157">AE12+AG12</f>
        <v>0</v>
      </c>
      <c r="AJ12" s="134">
        <f t="shared" si="157"/>
        <v>0</v>
      </c>
      <c r="AK12" s="134">
        <f>'бюджет округа (района)'!T12+'бюджеты поселений'!T12</f>
        <v>0</v>
      </c>
      <c r="AL12" s="134">
        <f>'бюджет округа (района)'!T12</f>
        <v>0</v>
      </c>
      <c r="AM12" s="134">
        <f t="shared" ref="AM12:AN26" si="158">AI12+AK12</f>
        <v>0</v>
      </c>
      <c r="AN12" s="134">
        <f t="shared" si="158"/>
        <v>0</v>
      </c>
      <c r="AO12" s="134">
        <f>'бюджет округа (района)'!V12+'бюджеты поселений'!V12</f>
        <v>0</v>
      </c>
      <c r="AP12" s="134">
        <f>'бюджет округа (района)'!V12</f>
        <v>0</v>
      </c>
      <c r="AQ12" s="134">
        <f t="shared" ref="AQ12:AR26" si="159">AM12+AO12</f>
        <v>0</v>
      </c>
      <c r="AR12" s="134">
        <f t="shared" si="159"/>
        <v>0</v>
      </c>
      <c r="AS12" s="134">
        <f>'бюджет округа (района)'!X12+'бюджеты поселений'!X12</f>
        <v>0</v>
      </c>
      <c r="AT12" s="134">
        <f>'бюджет округа (района)'!X12</f>
        <v>0</v>
      </c>
      <c r="AU12" s="134">
        <f t="shared" ref="AU12:AV26" si="160">AQ12+AS12</f>
        <v>0</v>
      </c>
      <c r="AV12" s="134">
        <f t="shared" si="160"/>
        <v>0</v>
      </c>
      <c r="AW12" s="134">
        <f>'бюджет округа (района)'!Z12+'бюджеты поселений'!Z12</f>
        <v>0</v>
      </c>
      <c r="AX12" s="134">
        <f>'бюджет округа (района)'!Z12</f>
        <v>0</v>
      </c>
      <c r="AY12" s="134">
        <f>'бюджет округа (района)'!AA12+'бюджеты поселений'!AA12</f>
        <v>0</v>
      </c>
      <c r="AZ12" s="134">
        <f>'бюджет округа (района)'!AA12</f>
        <v>0</v>
      </c>
      <c r="BA12" s="135">
        <f t="shared" si="149"/>
        <v>1</v>
      </c>
      <c r="BB12" s="135">
        <f t="shared" si="149"/>
        <v>1</v>
      </c>
      <c r="BC12" s="134" t="e">
        <f>'бюджет округа (района)'!AC12+'бюджеты поселений'!AC12</f>
        <v>#REF!</v>
      </c>
      <c r="BD12" s="134" t="e">
        <f>'бюджет округа (района)'!AC12</f>
        <v>#REF!</v>
      </c>
      <c r="BE12" s="134" t="e">
        <f>'бюджет округа (района)'!AD12+'бюджеты поселений'!AD12</f>
        <v>#REF!</v>
      </c>
      <c r="BF12" s="134" t="e">
        <f>'бюджет округа (района)'!AD12</f>
        <v>#REF!</v>
      </c>
      <c r="BG12" s="134" t="e">
        <f t="shared" ref="BG12:BH26" si="161">BC12+BE12</f>
        <v>#REF!</v>
      </c>
      <c r="BH12" s="134" t="e">
        <f t="shared" si="161"/>
        <v>#REF!</v>
      </c>
      <c r="BI12" s="135">
        <f t="shared" si="36"/>
        <v>1</v>
      </c>
      <c r="BJ12" s="135">
        <f t="shared" si="36"/>
        <v>1</v>
      </c>
      <c r="BK12" s="134" t="e">
        <f>'бюджет округа (района)'!AG12+'бюджеты поселений'!AG12</f>
        <v>#REF!</v>
      </c>
      <c r="BL12" s="134" t="e">
        <f>'бюджет округа (района)'!AG12</f>
        <v>#REF!</v>
      </c>
      <c r="BM12" s="134" t="e">
        <f t="shared" ref="BM12:BN26" si="162">BG12+BK12</f>
        <v>#REF!</v>
      </c>
      <c r="BN12" s="134" t="e">
        <f t="shared" si="162"/>
        <v>#REF!</v>
      </c>
      <c r="BO12" s="135">
        <f t="shared" si="38"/>
        <v>1</v>
      </c>
      <c r="BP12" s="135">
        <f t="shared" si="38"/>
        <v>1</v>
      </c>
      <c r="BQ12" s="134" t="e">
        <f>'бюджет округа (района)'!AJ12+'бюджеты поселений'!AJ12</f>
        <v>#REF!</v>
      </c>
      <c r="BR12" s="134" t="e">
        <f>'бюджет округа (района)'!AJ12</f>
        <v>#REF!</v>
      </c>
      <c r="BS12" s="134" t="e">
        <f t="shared" ref="BS12:BT26" si="163">BM12+BQ12</f>
        <v>#REF!</v>
      </c>
      <c r="BT12" s="134" t="e">
        <f t="shared" si="163"/>
        <v>#REF!</v>
      </c>
      <c r="BU12" s="135">
        <f t="shared" si="40"/>
        <v>1</v>
      </c>
      <c r="BV12" s="135">
        <f t="shared" si="40"/>
        <v>1</v>
      </c>
      <c r="BW12" s="134" t="e">
        <f>'бюджет округа (района)'!AM12+'бюджеты поселений'!AM12</f>
        <v>#REF!</v>
      </c>
      <c r="BX12" s="134" t="e">
        <f>'бюджет округа (района)'!AM12</f>
        <v>#REF!</v>
      </c>
      <c r="BY12" s="134" t="e">
        <f t="shared" ref="BY12:BZ26" si="164">BS12+BW12</f>
        <v>#REF!</v>
      </c>
      <c r="BZ12" s="134" t="e">
        <f t="shared" si="164"/>
        <v>#REF!</v>
      </c>
      <c r="CA12" s="135">
        <f t="shared" si="42"/>
        <v>1</v>
      </c>
      <c r="CB12" s="135">
        <f t="shared" si="42"/>
        <v>1</v>
      </c>
      <c r="CC12" s="134" t="e">
        <f>'бюджет округа (района)'!AP12+'бюджеты поселений'!AP12</f>
        <v>#REF!</v>
      </c>
      <c r="CD12" s="134" t="e">
        <f>'бюджет округа (района)'!AP12</f>
        <v>#REF!</v>
      </c>
      <c r="CE12" s="134" t="e">
        <f t="shared" ref="CE12:CF26" si="165">BY12+CC12</f>
        <v>#REF!</v>
      </c>
      <c r="CF12" s="134" t="e">
        <f t="shared" si="165"/>
        <v>#REF!</v>
      </c>
      <c r="CG12" s="135">
        <f t="shared" si="44"/>
        <v>1</v>
      </c>
      <c r="CH12" s="135">
        <f t="shared" si="44"/>
        <v>1</v>
      </c>
      <c r="CI12" s="134" t="e">
        <f>'бюджет округа (района)'!AS12+'бюджеты поселений'!AS12</f>
        <v>#REF!</v>
      </c>
      <c r="CJ12" s="134" t="e">
        <f>'бюджет округа (района)'!AS12</f>
        <v>#REF!</v>
      </c>
      <c r="CK12" s="134" t="e">
        <f t="shared" ref="CK12:CL26" si="166">CE12+CI12</f>
        <v>#REF!</v>
      </c>
      <c r="CL12" s="134" t="e">
        <f t="shared" si="166"/>
        <v>#REF!</v>
      </c>
      <c r="CM12" s="135">
        <f t="shared" si="46"/>
        <v>1</v>
      </c>
      <c r="CN12" s="135">
        <f t="shared" si="46"/>
        <v>1</v>
      </c>
      <c r="CO12" s="134" t="e">
        <f>'бюджет округа (района)'!AV12+'бюджеты поселений'!AV12</f>
        <v>#REF!</v>
      </c>
      <c r="CP12" s="134" t="e">
        <f>'бюджет округа (района)'!AV12</f>
        <v>#REF!</v>
      </c>
      <c r="CQ12" s="134" t="e">
        <f t="shared" ref="CQ12:CR26" si="167">CK12+CO12</f>
        <v>#REF!</v>
      </c>
      <c r="CR12" s="134" t="e">
        <f t="shared" si="167"/>
        <v>#REF!</v>
      </c>
      <c r="CS12" s="135">
        <f t="shared" si="48"/>
        <v>1</v>
      </c>
      <c r="CT12" s="135">
        <f t="shared" si="48"/>
        <v>1</v>
      </c>
      <c r="CU12" s="134" t="e">
        <f>'бюджет округа (района)'!AY12+'бюджеты поселений'!AY12</f>
        <v>#REF!</v>
      </c>
      <c r="CV12" s="134" t="e">
        <f>'бюджет округа (района)'!AY12</f>
        <v>#REF!</v>
      </c>
      <c r="CW12" s="134" t="e">
        <f t="shared" ref="CW12:CX26" si="168">CQ12+CU12</f>
        <v>#REF!</v>
      </c>
      <c r="CX12" s="134" t="e">
        <f t="shared" si="168"/>
        <v>#REF!</v>
      </c>
      <c r="CY12" s="135">
        <f t="shared" si="50"/>
        <v>1</v>
      </c>
      <c r="CZ12" s="135">
        <f t="shared" si="50"/>
        <v>1</v>
      </c>
      <c r="DA12" s="134" t="e">
        <f>'бюджет округа (района)'!BB12+'бюджеты поселений'!BB12</f>
        <v>#REF!</v>
      </c>
      <c r="DB12" s="134" t="e">
        <f>'бюджет округа (района)'!BB12</f>
        <v>#REF!</v>
      </c>
      <c r="DC12" s="134" t="e">
        <f t="shared" ref="DC12:DD26" si="169">CW12+DA12</f>
        <v>#REF!</v>
      </c>
      <c r="DD12" s="134" t="e">
        <f t="shared" si="169"/>
        <v>#REF!</v>
      </c>
      <c r="DE12" s="135">
        <f t="shared" si="52"/>
        <v>1</v>
      </c>
      <c r="DF12" s="135">
        <f t="shared" si="52"/>
        <v>1</v>
      </c>
      <c r="DG12" s="134" t="e">
        <f>'бюджет округа (района)'!BE12+'бюджеты поселений'!BE12</f>
        <v>#REF!</v>
      </c>
      <c r="DH12" s="134" t="e">
        <f>'бюджет округа (района)'!BE12</f>
        <v>#REF!</v>
      </c>
      <c r="DI12" s="134" t="e">
        <f t="shared" ref="DI12:DJ26" si="170">DC12+DG12</f>
        <v>#REF!</v>
      </c>
      <c r="DJ12" s="134" t="e">
        <f t="shared" si="170"/>
        <v>#REF!</v>
      </c>
      <c r="DK12" s="135">
        <f t="shared" si="54"/>
        <v>1</v>
      </c>
      <c r="DL12" s="135">
        <f t="shared" si="54"/>
        <v>1</v>
      </c>
      <c r="DM12" s="134" t="e">
        <f>'бюджет округа (района)'!BH12+'бюджеты поселений'!BH12</f>
        <v>#REF!</v>
      </c>
      <c r="DN12" s="134" t="e">
        <f>'бюджет округа (района)'!BH12</f>
        <v>#REF!</v>
      </c>
      <c r="DO12" s="134" t="e">
        <f>'бюджет округа (района)'!BI12+'бюджеты поселений'!BI12</f>
        <v>#REF!</v>
      </c>
      <c r="DP12" s="134" t="e">
        <f>'бюджет округа (района)'!BI12</f>
        <v>#REF!</v>
      </c>
      <c r="DQ12" s="134" t="e">
        <f>'бюджет округа (района)'!BJ12+'бюджеты поселений'!BJ12</f>
        <v>#REF!</v>
      </c>
      <c r="DR12" s="134" t="e">
        <f>'бюджет округа (района)'!BJ12</f>
        <v>#REF!</v>
      </c>
      <c r="DS12" s="135">
        <f>IF($AY$12=0,1,DQ12/$AY$12-1)</f>
        <v>1</v>
      </c>
      <c r="DT12" s="135">
        <f>IF($AZ$12=0,1,DR12/$AZ$12-1)</f>
        <v>1</v>
      </c>
      <c r="DU12" s="135">
        <f t="shared" si="58"/>
        <v>1</v>
      </c>
      <c r="DV12" s="135">
        <f t="shared" si="59"/>
        <v>1</v>
      </c>
      <c r="DW12" s="167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250" t="s">
        <v>32</v>
      </c>
      <c r="B13" s="251"/>
      <c r="C13" s="134">
        <f>'бюджет округа (района)'!C13+'бюджеты поселений'!C13</f>
        <v>0</v>
      </c>
      <c r="D13" s="134">
        <f>'бюджет округа (района)'!C13</f>
        <v>0</v>
      </c>
      <c r="E13" s="134">
        <f t="shared" si="150"/>
        <v>0</v>
      </c>
      <c r="F13" s="134">
        <f>H13+J13+N13+R13+V13+Z13+AD13+AH13+AL13+AP13+AT13+AX13</f>
        <v>0</v>
      </c>
      <c r="G13" s="134">
        <f>'бюджет округа (района)'!E13+'бюджеты поселений'!E13</f>
        <v>0</v>
      </c>
      <c r="H13" s="134">
        <f>'бюджет округа (района)'!E13</f>
        <v>0</v>
      </c>
      <c r="I13" s="134">
        <f>'бюджет округа (района)'!F13+'бюджеты поселений'!F13</f>
        <v>0</v>
      </c>
      <c r="J13" s="134">
        <f>'бюджет округа (района)'!F13</f>
        <v>0</v>
      </c>
      <c r="K13" s="134">
        <f t="shared" si="151"/>
        <v>0</v>
      </c>
      <c r="L13" s="134">
        <f t="shared" si="151"/>
        <v>0</v>
      </c>
      <c r="M13" s="134">
        <f>'бюджет округа (района)'!H13+'бюджеты поселений'!H13</f>
        <v>0</v>
      </c>
      <c r="N13" s="134">
        <f>'бюджет округа (района)'!H13</f>
        <v>0</v>
      </c>
      <c r="O13" s="134">
        <f t="shared" si="152"/>
        <v>0</v>
      </c>
      <c r="P13" s="134">
        <f t="shared" si="152"/>
        <v>0</v>
      </c>
      <c r="Q13" s="134">
        <f>'бюджет округа (района)'!J13+'бюджеты поселений'!J13</f>
        <v>0</v>
      </c>
      <c r="R13" s="134">
        <f>'бюджет округа (района)'!J13</f>
        <v>0</v>
      </c>
      <c r="S13" s="134">
        <f t="shared" si="153"/>
        <v>0</v>
      </c>
      <c r="T13" s="134">
        <f t="shared" si="153"/>
        <v>0</v>
      </c>
      <c r="U13" s="134">
        <f>'бюджет округа (района)'!L13+'бюджеты поселений'!L13</f>
        <v>0</v>
      </c>
      <c r="V13" s="134">
        <f>'бюджет округа (района)'!L13</f>
        <v>0</v>
      </c>
      <c r="W13" s="134">
        <f t="shared" si="154"/>
        <v>0</v>
      </c>
      <c r="X13" s="134">
        <f t="shared" si="154"/>
        <v>0</v>
      </c>
      <c r="Y13" s="134">
        <f>'бюджет округа (района)'!N13+'бюджеты поселений'!N13</f>
        <v>0</v>
      </c>
      <c r="Z13" s="134">
        <f>'бюджет округа (района)'!N13</f>
        <v>0</v>
      </c>
      <c r="AA13" s="134">
        <f t="shared" si="155"/>
        <v>0</v>
      </c>
      <c r="AB13" s="134">
        <f t="shared" si="155"/>
        <v>0</v>
      </c>
      <c r="AC13" s="134">
        <f>'бюджет округа (района)'!P13+'бюджеты поселений'!P13</f>
        <v>0</v>
      </c>
      <c r="AD13" s="134">
        <f>'бюджет округа (района)'!P13</f>
        <v>0</v>
      </c>
      <c r="AE13" s="134">
        <f t="shared" si="156"/>
        <v>0</v>
      </c>
      <c r="AF13" s="134">
        <f t="shared" si="156"/>
        <v>0</v>
      </c>
      <c r="AG13" s="134">
        <f>'бюджет округа (района)'!R13+'бюджеты поселений'!R13</f>
        <v>0</v>
      </c>
      <c r="AH13" s="134">
        <f>'бюджет округа (района)'!R13</f>
        <v>0</v>
      </c>
      <c r="AI13" s="134">
        <f t="shared" si="157"/>
        <v>0</v>
      </c>
      <c r="AJ13" s="134">
        <f t="shared" si="157"/>
        <v>0</v>
      </c>
      <c r="AK13" s="134">
        <f>'бюджет округа (района)'!T13+'бюджеты поселений'!T13</f>
        <v>0</v>
      </c>
      <c r="AL13" s="134">
        <f>'бюджет округа (района)'!T13</f>
        <v>0</v>
      </c>
      <c r="AM13" s="134">
        <f t="shared" si="158"/>
        <v>0</v>
      </c>
      <c r="AN13" s="134">
        <f t="shared" si="158"/>
        <v>0</v>
      </c>
      <c r="AO13" s="134">
        <f>'бюджет округа (района)'!V13+'бюджеты поселений'!V13</f>
        <v>0</v>
      </c>
      <c r="AP13" s="134">
        <f>'бюджет округа (района)'!V13</f>
        <v>0</v>
      </c>
      <c r="AQ13" s="134">
        <f t="shared" si="159"/>
        <v>0</v>
      </c>
      <c r="AR13" s="134">
        <f t="shared" si="159"/>
        <v>0</v>
      </c>
      <c r="AS13" s="134">
        <f>'бюджет округа (района)'!X13+'бюджеты поселений'!X13</f>
        <v>0</v>
      </c>
      <c r="AT13" s="134">
        <f>'бюджет округа (района)'!X13</f>
        <v>0</v>
      </c>
      <c r="AU13" s="134">
        <f t="shared" si="160"/>
        <v>0</v>
      </c>
      <c r="AV13" s="134">
        <f t="shared" si="160"/>
        <v>0</v>
      </c>
      <c r="AW13" s="134">
        <f>'бюджет округа (района)'!Z13+'бюджеты поселений'!Z13</f>
        <v>0</v>
      </c>
      <c r="AX13" s="134">
        <f>'бюджет округа (района)'!Z13</f>
        <v>0</v>
      </c>
      <c r="AY13" s="134">
        <f>'бюджет округа (района)'!AA13+'бюджеты поселений'!AA13</f>
        <v>0</v>
      </c>
      <c r="AZ13" s="134">
        <f>'бюджет округа (района)'!AA13</f>
        <v>0</v>
      </c>
      <c r="BA13" s="135">
        <f t="shared" si="149"/>
        <v>1</v>
      </c>
      <c r="BB13" s="135">
        <f t="shared" si="149"/>
        <v>1</v>
      </c>
      <c r="BC13" s="134">
        <f>'бюджет округа (района)'!AC13+'бюджеты поселений'!AC13</f>
        <v>0</v>
      </c>
      <c r="BD13" s="134">
        <f>'бюджет округа (района)'!AC13</f>
        <v>0</v>
      </c>
      <c r="BE13" s="134">
        <f>'бюджет округа (района)'!AD13+'бюджеты поселений'!AD13</f>
        <v>0</v>
      </c>
      <c r="BF13" s="134">
        <f>'бюджет округа (района)'!AD13</f>
        <v>0</v>
      </c>
      <c r="BG13" s="134">
        <f t="shared" si="161"/>
        <v>0</v>
      </c>
      <c r="BH13" s="134">
        <f t="shared" si="161"/>
        <v>0</v>
      </c>
      <c r="BI13" s="135">
        <f t="shared" si="36"/>
        <v>1</v>
      </c>
      <c r="BJ13" s="135">
        <f t="shared" si="36"/>
        <v>1</v>
      </c>
      <c r="BK13" s="134">
        <f>'бюджет округа (района)'!AG13+'бюджеты поселений'!AG13</f>
        <v>0</v>
      </c>
      <c r="BL13" s="134">
        <f>'бюджет округа (района)'!AG13</f>
        <v>0</v>
      </c>
      <c r="BM13" s="134">
        <f t="shared" si="162"/>
        <v>0</v>
      </c>
      <c r="BN13" s="134">
        <f t="shared" si="162"/>
        <v>0</v>
      </c>
      <c r="BO13" s="135">
        <f t="shared" si="38"/>
        <v>1</v>
      </c>
      <c r="BP13" s="135">
        <f t="shared" si="38"/>
        <v>1</v>
      </c>
      <c r="BQ13" s="134">
        <f>'бюджет округа (района)'!AJ13+'бюджеты поселений'!AJ13</f>
        <v>0</v>
      </c>
      <c r="BR13" s="134">
        <f>'бюджет округа (района)'!AJ13</f>
        <v>0</v>
      </c>
      <c r="BS13" s="134">
        <f t="shared" si="163"/>
        <v>0</v>
      </c>
      <c r="BT13" s="134">
        <f t="shared" si="163"/>
        <v>0</v>
      </c>
      <c r="BU13" s="135">
        <f t="shared" si="40"/>
        <v>1</v>
      </c>
      <c r="BV13" s="135">
        <f t="shared" si="40"/>
        <v>1</v>
      </c>
      <c r="BW13" s="134">
        <f>'бюджет округа (района)'!AM13+'бюджеты поселений'!AM13</f>
        <v>0</v>
      </c>
      <c r="BX13" s="134">
        <f>'бюджет округа (района)'!AM13</f>
        <v>0</v>
      </c>
      <c r="BY13" s="134">
        <f t="shared" si="164"/>
        <v>0</v>
      </c>
      <c r="BZ13" s="134">
        <f t="shared" si="164"/>
        <v>0</v>
      </c>
      <c r="CA13" s="135">
        <f t="shared" si="42"/>
        <v>1</v>
      </c>
      <c r="CB13" s="135">
        <f t="shared" si="42"/>
        <v>1</v>
      </c>
      <c r="CC13" s="134">
        <f>'бюджет округа (района)'!AP13+'бюджеты поселений'!AP13</f>
        <v>0</v>
      </c>
      <c r="CD13" s="134">
        <f>'бюджет округа (района)'!AP13</f>
        <v>0</v>
      </c>
      <c r="CE13" s="134">
        <f t="shared" si="165"/>
        <v>0</v>
      </c>
      <c r="CF13" s="134">
        <f t="shared" si="165"/>
        <v>0</v>
      </c>
      <c r="CG13" s="135">
        <f t="shared" si="44"/>
        <v>1</v>
      </c>
      <c r="CH13" s="135">
        <f t="shared" si="44"/>
        <v>1</v>
      </c>
      <c r="CI13" s="134">
        <f>'бюджет округа (района)'!AS13+'бюджеты поселений'!AS13</f>
        <v>0</v>
      </c>
      <c r="CJ13" s="134">
        <f>'бюджет округа (района)'!AS13</f>
        <v>0</v>
      </c>
      <c r="CK13" s="134">
        <f t="shared" si="166"/>
        <v>0</v>
      </c>
      <c r="CL13" s="134">
        <f t="shared" si="166"/>
        <v>0</v>
      </c>
      <c r="CM13" s="135">
        <f t="shared" si="46"/>
        <v>1</v>
      </c>
      <c r="CN13" s="135">
        <f t="shared" si="46"/>
        <v>1</v>
      </c>
      <c r="CO13" s="134">
        <f>'бюджет округа (района)'!AV13+'бюджеты поселений'!AV13</f>
        <v>0</v>
      </c>
      <c r="CP13" s="134">
        <f>'бюджет округа (района)'!AV13</f>
        <v>0</v>
      </c>
      <c r="CQ13" s="134">
        <f t="shared" si="167"/>
        <v>0</v>
      </c>
      <c r="CR13" s="134">
        <f t="shared" si="167"/>
        <v>0</v>
      </c>
      <c r="CS13" s="135">
        <f t="shared" si="48"/>
        <v>1</v>
      </c>
      <c r="CT13" s="135">
        <f t="shared" si="48"/>
        <v>1</v>
      </c>
      <c r="CU13" s="134">
        <f>'бюджет округа (района)'!AY13+'бюджеты поселений'!AY13</f>
        <v>0</v>
      </c>
      <c r="CV13" s="134">
        <f>'бюджет округа (района)'!AY13</f>
        <v>0</v>
      </c>
      <c r="CW13" s="134">
        <f t="shared" si="168"/>
        <v>0</v>
      </c>
      <c r="CX13" s="134">
        <f t="shared" si="168"/>
        <v>0</v>
      </c>
      <c r="CY13" s="135">
        <f t="shared" si="50"/>
        <v>1</v>
      </c>
      <c r="CZ13" s="135">
        <f t="shared" si="50"/>
        <v>1</v>
      </c>
      <c r="DA13" s="134">
        <f>'бюджет округа (района)'!BB13+'бюджеты поселений'!BB13</f>
        <v>0</v>
      </c>
      <c r="DB13" s="134">
        <f>'бюджет округа (района)'!BB13</f>
        <v>0</v>
      </c>
      <c r="DC13" s="134">
        <f t="shared" si="169"/>
        <v>0</v>
      </c>
      <c r="DD13" s="134">
        <f t="shared" si="169"/>
        <v>0</v>
      </c>
      <c r="DE13" s="135">
        <f t="shared" si="52"/>
        <v>1</v>
      </c>
      <c r="DF13" s="135">
        <f t="shared" si="52"/>
        <v>1</v>
      </c>
      <c r="DG13" s="134">
        <f>'бюджет округа (района)'!BE13+'бюджеты поселений'!BE13</f>
        <v>0</v>
      </c>
      <c r="DH13" s="134">
        <f>'бюджет округа (района)'!BE13</f>
        <v>0</v>
      </c>
      <c r="DI13" s="134">
        <f t="shared" si="170"/>
        <v>0</v>
      </c>
      <c r="DJ13" s="134">
        <f t="shared" si="170"/>
        <v>0</v>
      </c>
      <c r="DK13" s="135">
        <f t="shared" si="54"/>
        <v>1</v>
      </c>
      <c r="DL13" s="135">
        <f t="shared" si="54"/>
        <v>1</v>
      </c>
      <c r="DM13" s="134">
        <f>'бюджет округа (района)'!BH13+'бюджеты поселений'!BH13</f>
        <v>0</v>
      </c>
      <c r="DN13" s="134">
        <f>'бюджет округа (района)'!BH13</f>
        <v>0</v>
      </c>
      <c r="DO13" s="134">
        <f>'бюджет округа (района)'!BI13+'бюджеты поселений'!BI13</f>
        <v>0</v>
      </c>
      <c r="DP13" s="134">
        <f>'бюджет округа (района)'!BI13</f>
        <v>0</v>
      </c>
      <c r="DQ13" s="134">
        <f>'бюджет округа (района)'!BJ13+'бюджеты поселений'!BJ13</f>
        <v>0</v>
      </c>
      <c r="DR13" s="134">
        <f>'бюджет округа (района)'!BJ13</f>
        <v>0</v>
      </c>
      <c r="DS13" s="135">
        <f>IF($AY$13=0,1,DQ13/$AY$13-1)</f>
        <v>1</v>
      </c>
      <c r="DT13" s="135">
        <f>IF($AZ$13=0,1,DR13/$AZ$13-1)</f>
        <v>1</v>
      </c>
      <c r="DU13" s="135">
        <f t="shared" si="58"/>
        <v>1</v>
      </c>
      <c r="DV13" s="135">
        <f t="shared" si="59"/>
        <v>1</v>
      </c>
      <c r="DW13" s="167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250" t="s">
        <v>80</v>
      </c>
      <c r="B14" s="251"/>
      <c r="C14" s="134">
        <f>'бюджет округа (района)'!C14+'бюджеты поселений'!C14</f>
        <v>0</v>
      </c>
      <c r="D14" s="134">
        <f>'бюджет округа (района)'!C14</f>
        <v>0</v>
      </c>
      <c r="E14" s="134">
        <f t="shared" si="150"/>
        <v>0</v>
      </c>
      <c r="F14" s="134">
        <f>H14+J14+N14+R14+V14+Z14+AD14+AH14+AL14+AP14+AT14+AX14</f>
        <v>0</v>
      </c>
      <c r="G14" s="134">
        <f>'бюджет округа (района)'!E14+'бюджеты поселений'!E14</f>
        <v>0</v>
      </c>
      <c r="H14" s="134">
        <f>'бюджет округа (района)'!E14</f>
        <v>0</v>
      </c>
      <c r="I14" s="134">
        <f>'бюджет округа (района)'!F14+'бюджеты поселений'!F14</f>
        <v>0</v>
      </c>
      <c r="J14" s="134">
        <f>'бюджет округа (района)'!F14</f>
        <v>0</v>
      </c>
      <c r="K14" s="134">
        <f t="shared" si="151"/>
        <v>0</v>
      </c>
      <c r="L14" s="134">
        <f t="shared" si="151"/>
        <v>0</v>
      </c>
      <c r="M14" s="134">
        <f>'бюджет округа (района)'!H14+'бюджеты поселений'!H14</f>
        <v>0</v>
      </c>
      <c r="N14" s="134">
        <f>'бюджет округа (района)'!H14</f>
        <v>0</v>
      </c>
      <c r="O14" s="134">
        <f t="shared" si="152"/>
        <v>0</v>
      </c>
      <c r="P14" s="134">
        <f t="shared" si="152"/>
        <v>0</v>
      </c>
      <c r="Q14" s="134">
        <f>'бюджет округа (района)'!J14+'бюджеты поселений'!J14</f>
        <v>0</v>
      </c>
      <c r="R14" s="134">
        <f>'бюджет округа (района)'!J14</f>
        <v>0</v>
      </c>
      <c r="S14" s="134">
        <f t="shared" si="153"/>
        <v>0</v>
      </c>
      <c r="T14" s="134">
        <f t="shared" si="153"/>
        <v>0</v>
      </c>
      <c r="U14" s="134">
        <f>'бюджет округа (района)'!L14+'бюджеты поселений'!L14</f>
        <v>0</v>
      </c>
      <c r="V14" s="134">
        <f>'бюджет округа (района)'!L14</f>
        <v>0</v>
      </c>
      <c r="W14" s="134">
        <f t="shared" si="154"/>
        <v>0</v>
      </c>
      <c r="X14" s="134">
        <f t="shared" si="154"/>
        <v>0</v>
      </c>
      <c r="Y14" s="134">
        <f>'бюджет округа (района)'!N14+'бюджеты поселений'!N14</f>
        <v>0</v>
      </c>
      <c r="Z14" s="134">
        <f>'бюджет округа (района)'!N14</f>
        <v>0</v>
      </c>
      <c r="AA14" s="134">
        <f t="shared" si="155"/>
        <v>0</v>
      </c>
      <c r="AB14" s="134">
        <f t="shared" si="155"/>
        <v>0</v>
      </c>
      <c r="AC14" s="134">
        <f>'бюджет округа (района)'!P14+'бюджеты поселений'!P14</f>
        <v>0</v>
      </c>
      <c r="AD14" s="134">
        <f>'бюджет округа (района)'!P14</f>
        <v>0</v>
      </c>
      <c r="AE14" s="134">
        <f t="shared" si="156"/>
        <v>0</v>
      </c>
      <c r="AF14" s="134">
        <f t="shared" si="156"/>
        <v>0</v>
      </c>
      <c r="AG14" s="134">
        <f>'бюджет округа (района)'!R14+'бюджеты поселений'!R14</f>
        <v>0</v>
      </c>
      <c r="AH14" s="134">
        <f>'бюджет округа (района)'!R14</f>
        <v>0</v>
      </c>
      <c r="AI14" s="134">
        <f t="shared" si="157"/>
        <v>0</v>
      </c>
      <c r="AJ14" s="134">
        <f t="shared" si="157"/>
        <v>0</v>
      </c>
      <c r="AK14" s="134">
        <f>'бюджет округа (района)'!T14+'бюджеты поселений'!T14</f>
        <v>0</v>
      </c>
      <c r="AL14" s="134">
        <f>'бюджет округа (района)'!T14</f>
        <v>0</v>
      </c>
      <c r="AM14" s="134">
        <f t="shared" si="158"/>
        <v>0</v>
      </c>
      <c r="AN14" s="134">
        <f t="shared" si="158"/>
        <v>0</v>
      </c>
      <c r="AO14" s="134">
        <f>'бюджет округа (района)'!V14+'бюджеты поселений'!V14</f>
        <v>0</v>
      </c>
      <c r="AP14" s="134">
        <f>'бюджет округа (района)'!V14</f>
        <v>0</v>
      </c>
      <c r="AQ14" s="134">
        <f t="shared" si="159"/>
        <v>0</v>
      </c>
      <c r="AR14" s="134">
        <f t="shared" si="159"/>
        <v>0</v>
      </c>
      <c r="AS14" s="134">
        <f>'бюджет округа (района)'!X14+'бюджеты поселений'!X14</f>
        <v>0</v>
      </c>
      <c r="AT14" s="134">
        <f>'бюджет округа (района)'!X14</f>
        <v>0</v>
      </c>
      <c r="AU14" s="134">
        <f t="shared" si="160"/>
        <v>0</v>
      </c>
      <c r="AV14" s="134">
        <f t="shared" si="160"/>
        <v>0</v>
      </c>
      <c r="AW14" s="134">
        <f>'бюджет округа (района)'!Z14+'бюджеты поселений'!Z14</f>
        <v>0</v>
      </c>
      <c r="AX14" s="134">
        <f>'бюджет округа (района)'!Z14</f>
        <v>0</v>
      </c>
      <c r="AY14" s="134">
        <f>'бюджет округа (района)'!AA14+'бюджеты поселений'!AA14</f>
        <v>0</v>
      </c>
      <c r="AZ14" s="134">
        <f>'бюджет округа (района)'!AA14</f>
        <v>0</v>
      </c>
      <c r="BA14" s="135">
        <f t="shared" si="149"/>
        <v>1</v>
      </c>
      <c r="BB14" s="135">
        <f t="shared" si="149"/>
        <v>1</v>
      </c>
      <c r="BC14" s="134">
        <f>'бюджет округа (района)'!AC14+'бюджеты поселений'!AC14</f>
        <v>0</v>
      </c>
      <c r="BD14" s="134">
        <f>'бюджет округа (района)'!AC14</f>
        <v>0</v>
      </c>
      <c r="BE14" s="134">
        <f>'бюджет округа (района)'!AD14+'бюджеты поселений'!AD14</f>
        <v>0</v>
      </c>
      <c r="BF14" s="134">
        <f>'бюджет округа (района)'!AD14</f>
        <v>0</v>
      </c>
      <c r="BG14" s="134">
        <f t="shared" si="161"/>
        <v>0</v>
      </c>
      <c r="BH14" s="134">
        <f t="shared" si="161"/>
        <v>0</v>
      </c>
      <c r="BI14" s="135">
        <f t="shared" si="36"/>
        <v>1</v>
      </c>
      <c r="BJ14" s="135">
        <f t="shared" si="36"/>
        <v>1</v>
      </c>
      <c r="BK14" s="134">
        <f>'бюджет округа (района)'!AG14+'бюджеты поселений'!AG14</f>
        <v>0</v>
      </c>
      <c r="BL14" s="134">
        <f>'бюджет округа (района)'!AG14</f>
        <v>0</v>
      </c>
      <c r="BM14" s="134">
        <f t="shared" si="162"/>
        <v>0</v>
      </c>
      <c r="BN14" s="134">
        <f t="shared" si="162"/>
        <v>0</v>
      </c>
      <c r="BO14" s="135">
        <f t="shared" si="38"/>
        <v>1</v>
      </c>
      <c r="BP14" s="135">
        <f t="shared" si="38"/>
        <v>1</v>
      </c>
      <c r="BQ14" s="134">
        <f>'бюджет округа (района)'!AJ14+'бюджеты поселений'!AJ14</f>
        <v>0</v>
      </c>
      <c r="BR14" s="134">
        <f>'бюджет округа (района)'!AJ14</f>
        <v>0</v>
      </c>
      <c r="BS14" s="134">
        <f t="shared" si="163"/>
        <v>0</v>
      </c>
      <c r="BT14" s="134">
        <f t="shared" si="163"/>
        <v>0</v>
      </c>
      <c r="BU14" s="135">
        <f t="shared" si="40"/>
        <v>1</v>
      </c>
      <c r="BV14" s="135">
        <f t="shared" si="40"/>
        <v>1</v>
      </c>
      <c r="BW14" s="134">
        <f>'бюджет округа (района)'!AM14+'бюджеты поселений'!AM14</f>
        <v>0</v>
      </c>
      <c r="BX14" s="134">
        <f>'бюджет округа (района)'!AM14</f>
        <v>0</v>
      </c>
      <c r="BY14" s="134">
        <f t="shared" si="164"/>
        <v>0</v>
      </c>
      <c r="BZ14" s="134">
        <f t="shared" si="164"/>
        <v>0</v>
      </c>
      <c r="CA14" s="135">
        <f t="shared" si="42"/>
        <v>1</v>
      </c>
      <c r="CB14" s="135">
        <f t="shared" si="42"/>
        <v>1</v>
      </c>
      <c r="CC14" s="134">
        <f>'бюджет округа (района)'!AP14+'бюджеты поселений'!AP14</f>
        <v>0</v>
      </c>
      <c r="CD14" s="134">
        <f>'бюджет округа (района)'!AP14</f>
        <v>0</v>
      </c>
      <c r="CE14" s="134">
        <f t="shared" si="165"/>
        <v>0</v>
      </c>
      <c r="CF14" s="134">
        <f t="shared" si="165"/>
        <v>0</v>
      </c>
      <c r="CG14" s="135">
        <f t="shared" si="44"/>
        <v>1</v>
      </c>
      <c r="CH14" s="135">
        <f t="shared" si="44"/>
        <v>1</v>
      </c>
      <c r="CI14" s="134">
        <f>'бюджет округа (района)'!AS14+'бюджеты поселений'!AS14</f>
        <v>0</v>
      </c>
      <c r="CJ14" s="134">
        <f>'бюджет округа (района)'!AS14</f>
        <v>0</v>
      </c>
      <c r="CK14" s="134">
        <f t="shared" si="166"/>
        <v>0</v>
      </c>
      <c r="CL14" s="134">
        <f t="shared" si="166"/>
        <v>0</v>
      </c>
      <c r="CM14" s="135">
        <f t="shared" si="46"/>
        <v>1</v>
      </c>
      <c r="CN14" s="135">
        <f t="shared" si="46"/>
        <v>1</v>
      </c>
      <c r="CO14" s="134">
        <f>'бюджет округа (района)'!AV14+'бюджеты поселений'!AV14</f>
        <v>0</v>
      </c>
      <c r="CP14" s="134">
        <f>'бюджет округа (района)'!AV14</f>
        <v>0</v>
      </c>
      <c r="CQ14" s="134">
        <f t="shared" si="167"/>
        <v>0</v>
      </c>
      <c r="CR14" s="134">
        <f t="shared" si="167"/>
        <v>0</v>
      </c>
      <c r="CS14" s="135">
        <f t="shared" si="48"/>
        <v>1</v>
      </c>
      <c r="CT14" s="135">
        <f t="shared" si="48"/>
        <v>1</v>
      </c>
      <c r="CU14" s="134">
        <f>'бюджет округа (района)'!AY14+'бюджеты поселений'!AY14</f>
        <v>0</v>
      </c>
      <c r="CV14" s="134">
        <f>'бюджет округа (района)'!AY14</f>
        <v>0</v>
      </c>
      <c r="CW14" s="134">
        <f t="shared" si="168"/>
        <v>0</v>
      </c>
      <c r="CX14" s="134">
        <f t="shared" si="168"/>
        <v>0</v>
      </c>
      <c r="CY14" s="135">
        <f t="shared" si="50"/>
        <v>1</v>
      </c>
      <c r="CZ14" s="135">
        <f t="shared" si="50"/>
        <v>1</v>
      </c>
      <c r="DA14" s="134">
        <f>'бюджет округа (района)'!BB14+'бюджеты поселений'!BB14</f>
        <v>0</v>
      </c>
      <c r="DB14" s="134">
        <f>'бюджет округа (района)'!BB14</f>
        <v>0</v>
      </c>
      <c r="DC14" s="134">
        <f t="shared" si="169"/>
        <v>0</v>
      </c>
      <c r="DD14" s="134">
        <f t="shared" si="169"/>
        <v>0</v>
      </c>
      <c r="DE14" s="135">
        <f t="shared" si="52"/>
        <v>1</v>
      </c>
      <c r="DF14" s="135">
        <f t="shared" si="52"/>
        <v>1</v>
      </c>
      <c r="DG14" s="134">
        <f>'бюджет округа (района)'!BE14+'бюджеты поселений'!BE14</f>
        <v>0</v>
      </c>
      <c r="DH14" s="134">
        <f>'бюджет округа (района)'!BE14</f>
        <v>0</v>
      </c>
      <c r="DI14" s="134">
        <f t="shared" si="170"/>
        <v>0</v>
      </c>
      <c r="DJ14" s="134">
        <f t="shared" si="170"/>
        <v>0</v>
      </c>
      <c r="DK14" s="135">
        <f t="shared" si="54"/>
        <v>1</v>
      </c>
      <c r="DL14" s="135">
        <f t="shared" si="54"/>
        <v>1</v>
      </c>
      <c r="DM14" s="134">
        <f>'бюджет округа (района)'!BH14+'бюджеты поселений'!BH14</f>
        <v>0</v>
      </c>
      <c r="DN14" s="134">
        <f>'бюджет округа (района)'!BH14</f>
        <v>0</v>
      </c>
      <c r="DO14" s="134">
        <f>'бюджет округа (района)'!BI14+'бюджеты поселений'!BI14</f>
        <v>0</v>
      </c>
      <c r="DP14" s="134">
        <f>'бюджет округа (района)'!BI14</f>
        <v>0</v>
      </c>
      <c r="DQ14" s="134">
        <f>'бюджет округа (района)'!BJ14+'бюджеты поселений'!BJ14</f>
        <v>0</v>
      </c>
      <c r="DR14" s="134">
        <f>'бюджет округа (района)'!BJ14</f>
        <v>0</v>
      </c>
      <c r="DS14" s="135">
        <f>IF($AY$14=0,1,DQ14/$AY$14-1)</f>
        <v>1</v>
      </c>
      <c r="DT14" s="135">
        <f>IF($AZ$14=0,1,DR14/$AZ$14-1)</f>
        <v>1</v>
      </c>
      <c r="DU14" s="135">
        <f t="shared" si="58"/>
        <v>1</v>
      </c>
      <c r="DV14" s="135">
        <f t="shared" si="59"/>
        <v>1</v>
      </c>
      <c r="DW14" s="167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250" t="s">
        <v>33</v>
      </c>
      <c r="B15" s="251"/>
      <c r="C15" s="134">
        <f>'бюджеты поселений'!C15</f>
        <v>0</v>
      </c>
      <c r="D15" s="134" t="s">
        <v>34</v>
      </c>
      <c r="E15" s="134">
        <f t="shared" si="150"/>
        <v>0</v>
      </c>
      <c r="F15" s="134" t="s">
        <v>34</v>
      </c>
      <c r="G15" s="134">
        <f>'бюджеты поселений'!E15</f>
        <v>0</v>
      </c>
      <c r="H15" s="134" t="s">
        <v>34</v>
      </c>
      <c r="I15" s="134">
        <f>'бюджеты поселений'!F15</f>
        <v>0</v>
      </c>
      <c r="J15" s="134" t="s">
        <v>34</v>
      </c>
      <c r="K15" s="134">
        <f t="shared" si="151"/>
        <v>0</v>
      </c>
      <c r="L15" s="134" t="s">
        <v>34</v>
      </c>
      <c r="M15" s="134">
        <f>'бюджеты поселений'!H15</f>
        <v>0</v>
      </c>
      <c r="N15" s="134" t="s">
        <v>34</v>
      </c>
      <c r="O15" s="134">
        <f t="shared" si="152"/>
        <v>0</v>
      </c>
      <c r="P15" s="134" t="s">
        <v>34</v>
      </c>
      <c r="Q15" s="134">
        <f>'бюджеты поселений'!J15</f>
        <v>0</v>
      </c>
      <c r="R15" s="134" t="s">
        <v>34</v>
      </c>
      <c r="S15" s="134">
        <f t="shared" si="153"/>
        <v>0</v>
      </c>
      <c r="T15" s="134" t="s">
        <v>34</v>
      </c>
      <c r="U15" s="134">
        <f>'бюджеты поселений'!L15</f>
        <v>0</v>
      </c>
      <c r="V15" s="134" t="s">
        <v>34</v>
      </c>
      <c r="W15" s="134">
        <f t="shared" si="154"/>
        <v>0</v>
      </c>
      <c r="X15" s="134" t="s">
        <v>34</v>
      </c>
      <c r="Y15" s="134">
        <f>'бюджеты поселений'!N15</f>
        <v>0</v>
      </c>
      <c r="Z15" s="134" t="s">
        <v>34</v>
      </c>
      <c r="AA15" s="134">
        <f t="shared" si="155"/>
        <v>0</v>
      </c>
      <c r="AB15" s="134" t="s">
        <v>34</v>
      </c>
      <c r="AC15" s="134">
        <f>'бюджеты поселений'!P15</f>
        <v>0</v>
      </c>
      <c r="AD15" s="134" t="s">
        <v>34</v>
      </c>
      <c r="AE15" s="134">
        <f t="shared" si="156"/>
        <v>0</v>
      </c>
      <c r="AF15" s="134" t="s">
        <v>34</v>
      </c>
      <c r="AG15" s="134">
        <f>'бюджеты поселений'!R15</f>
        <v>0</v>
      </c>
      <c r="AH15" s="134" t="s">
        <v>34</v>
      </c>
      <c r="AI15" s="134">
        <f t="shared" si="157"/>
        <v>0</v>
      </c>
      <c r="AJ15" s="134" t="s">
        <v>34</v>
      </c>
      <c r="AK15" s="134">
        <f>'бюджеты поселений'!T15</f>
        <v>0</v>
      </c>
      <c r="AL15" s="134" t="s">
        <v>34</v>
      </c>
      <c r="AM15" s="134">
        <f t="shared" si="158"/>
        <v>0</v>
      </c>
      <c r="AN15" s="134" t="s">
        <v>34</v>
      </c>
      <c r="AO15" s="134">
        <f>'бюджеты поселений'!V15</f>
        <v>0</v>
      </c>
      <c r="AP15" s="134" t="s">
        <v>34</v>
      </c>
      <c r="AQ15" s="134">
        <f t="shared" si="159"/>
        <v>0</v>
      </c>
      <c r="AR15" s="134" t="s">
        <v>34</v>
      </c>
      <c r="AS15" s="134">
        <f>'бюджеты поселений'!X15</f>
        <v>0</v>
      </c>
      <c r="AT15" s="134" t="s">
        <v>34</v>
      </c>
      <c r="AU15" s="134">
        <f t="shared" si="160"/>
        <v>0</v>
      </c>
      <c r="AV15" s="134" t="s">
        <v>34</v>
      </c>
      <c r="AW15" s="134">
        <f>'бюджеты поселений'!Z15</f>
        <v>0</v>
      </c>
      <c r="AX15" s="134" t="s">
        <v>34</v>
      </c>
      <c r="AY15" s="134">
        <f>'бюджеты поселений'!AA15</f>
        <v>0</v>
      </c>
      <c r="AZ15" s="134" t="s">
        <v>34</v>
      </c>
      <c r="BA15" s="135">
        <f t="shared" si="149"/>
        <v>1</v>
      </c>
      <c r="BB15" s="135" t="s">
        <v>34</v>
      </c>
      <c r="BC15" s="134">
        <f>'бюджеты поселений'!AC15</f>
        <v>0</v>
      </c>
      <c r="BD15" s="134" t="s">
        <v>34</v>
      </c>
      <c r="BE15" s="134">
        <f>'бюджеты поселений'!AD15</f>
        <v>0</v>
      </c>
      <c r="BF15" s="134" t="s">
        <v>34</v>
      </c>
      <c r="BG15" s="134">
        <f t="shared" si="161"/>
        <v>0</v>
      </c>
      <c r="BH15" s="134" t="s">
        <v>34</v>
      </c>
      <c r="BI15" s="135">
        <f t="shared" si="36"/>
        <v>1</v>
      </c>
      <c r="BJ15" s="135" t="s">
        <v>34</v>
      </c>
      <c r="BK15" s="134">
        <f>'бюджеты поселений'!AG15</f>
        <v>0</v>
      </c>
      <c r="BL15" s="134" t="s">
        <v>34</v>
      </c>
      <c r="BM15" s="134">
        <f t="shared" si="162"/>
        <v>0</v>
      </c>
      <c r="BN15" s="134" t="s">
        <v>34</v>
      </c>
      <c r="BO15" s="135">
        <f t="shared" si="38"/>
        <v>1</v>
      </c>
      <c r="BP15" s="135" t="s">
        <v>34</v>
      </c>
      <c r="BQ15" s="134">
        <f>'бюджеты поселений'!AJ15</f>
        <v>0</v>
      </c>
      <c r="BR15" s="134" t="s">
        <v>34</v>
      </c>
      <c r="BS15" s="134">
        <f t="shared" si="163"/>
        <v>0</v>
      </c>
      <c r="BT15" s="134" t="s">
        <v>34</v>
      </c>
      <c r="BU15" s="135">
        <f t="shared" si="40"/>
        <v>1</v>
      </c>
      <c r="BV15" s="134" t="s">
        <v>34</v>
      </c>
      <c r="BW15" s="134">
        <f>'бюджеты поселений'!AM15</f>
        <v>0</v>
      </c>
      <c r="BX15" s="134" t="s">
        <v>34</v>
      </c>
      <c r="BY15" s="134">
        <f t="shared" si="164"/>
        <v>0</v>
      </c>
      <c r="BZ15" s="134" t="s">
        <v>34</v>
      </c>
      <c r="CA15" s="135">
        <f t="shared" si="42"/>
        <v>1</v>
      </c>
      <c r="CB15" s="134" t="s">
        <v>34</v>
      </c>
      <c r="CC15" s="134">
        <f>'бюджеты поселений'!AP15</f>
        <v>0</v>
      </c>
      <c r="CD15" s="134" t="s">
        <v>34</v>
      </c>
      <c r="CE15" s="134">
        <f t="shared" si="165"/>
        <v>0</v>
      </c>
      <c r="CF15" s="134" t="s">
        <v>34</v>
      </c>
      <c r="CG15" s="135">
        <f t="shared" si="44"/>
        <v>1</v>
      </c>
      <c r="CH15" s="134" t="s">
        <v>34</v>
      </c>
      <c r="CI15" s="134">
        <f>'бюджеты поселений'!AS15</f>
        <v>0</v>
      </c>
      <c r="CJ15" s="134" t="s">
        <v>34</v>
      </c>
      <c r="CK15" s="134">
        <f t="shared" si="166"/>
        <v>0</v>
      </c>
      <c r="CL15" s="134" t="s">
        <v>34</v>
      </c>
      <c r="CM15" s="135">
        <f t="shared" si="46"/>
        <v>1</v>
      </c>
      <c r="CN15" s="134" t="s">
        <v>34</v>
      </c>
      <c r="CO15" s="134">
        <f>'бюджеты поселений'!AV15</f>
        <v>0</v>
      </c>
      <c r="CP15" s="134" t="s">
        <v>34</v>
      </c>
      <c r="CQ15" s="134">
        <f t="shared" si="167"/>
        <v>0</v>
      </c>
      <c r="CR15" s="134" t="s">
        <v>34</v>
      </c>
      <c r="CS15" s="135">
        <f t="shared" si="48"/>
        <v>1</v>
      </c>
      <c r="CT15" s="134" t="s">
        <v>34</v>
      </c>
      <c r="CU15" s="134">
        <f>'бюджеты поселений'!AY15</f>
        <v>0</v>
      </c>
      <c r="CV15" s="134" t="s">
        <v>34</v>
      </c>
      <c r="CW15" s="134">
        <f t="shared" si="168"/>
        <v>0</v>
      </c>
      <c r="CX15" s="134" t="s">
        <v>34</v>
      </c>
      <c r="CY15" s="135">
        <f t="shared" si="50"/>
        <v>1</v>
      </c>
      <c r="CZ15" s="134" t="s">
        <v>34</v>
      </c>
      <c r="DA15" s="134">
        <f>'бюджеты поселений'!BB15</f>
        <v>0</v>
      </c>
      <c r="DB15" s="134" t="s">
        <v>34</v>
      </c>
      <c r="DC15" s="134">
        <f t="shared" si="169"/>
        <v>0</v>
      </c>
      <c r="DD15" s="134" t="s">
        <v>34</v>
      </c>
      <c r="DE15" s="135">
        <f t="shared" si="52"/>
        <v>1</v>
      </c>
      <c r="DF15" s="134" t="s">
        <v>34</v>
      </c>
      <c r="DG15" s="134">
        <f>'бюджеты поселений'!BE15</f>
        <v>0</v>
      </c>
      <c r="DH15" s="134" t="s">
        <v>34</v>
      </c>
      <c r="DI15" s="134">
        <f t="shared" si="170"/>
        <v>0</v>
      </c>
      <c r="DJ15" s="134" t="s">
        <v>34</v>
      </c>
      <c r="DK15" s="135">
        <f t="shared" si="54"/>
        <v>1</v>
      </c>
      <c r="DL15" s="134" t="s">
        <v>34</v>
      </c>
      <c r="DM15" s="134">
        <f>'бюджеты поселений'!BH15</f>
        <v>0</v>
      </c>
      <c r="DN15" s="134" t="s">
        <v>34</v>
      </c>
      <c r="DO15" s="134">
        <f>'бюджеты поселений'!BI15</f>
        <v>0</v>
      </c>
      <c r="DP15" s="134" t="s">
        <v>34</v>
      </c>
      <c r="DQ15" s="134">
        <f>'бюджеты поселений'!BJ15</f>
        <v>0</v>
      </c>
      <c r="DR15" s="134" t="s">
        <v>34</v>
      </c>
      <c r="DS15" s="135">
        <f>IF($AY$15=0,1,DQ15/$AY$15-1)</f>
        <v>1</v>
      </c>
      <c r="DT15" s="134" t="s">
        <v>34</v>
      </c>
      <c r="DU15" s="135">
        <f t="shared" si="58"/>
        <v>1</v>
      </c>
      <c r="DV15" s="134" t="s">
        <v>34</v>
      </c>
      <c r="DW15" s="167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250" t="s">
        <v>35</v>
      </c>
      <c r="B16" s="251"/>
      <c r="C16" s="134">
        <f>'бюджеты поселений'!C16</f>
        <v>0</v>
      </c>
      <c r="D16" s="134" t="s">
        <v>34</v>
      </c>
      <c r="E16" s="134">
        <f t="shared" si="150"/>
        <v>0</v>
      </c>
      <c r="F16" s="134" t="s">
        <v>34</v>
      </c>
      <c r="G16" s="134">
        <f>'бюджеты поселений'!E16</f>
        <v>0</v>
      </c>
      <c r="H16" s="134" t="s">
        <v>34</v>
      </c>
      <c r="I16" s="134">
        <f>'бюджеты поселений'!F16</f>
        <v>0</v>
      </c>
      <c r="J16" s="134" t="s">
        <v>34</v>
      </c>
      <c r="K16" s="134">
        <f t="shared" si="151"/>
        <v>0</v>
      </c>
      <c r="L16" s="134" t="s">
        <v>34</v>
      </c>
      <c r="M16" s="134">
        <f>'бюджеты поселений'!H16</f>
        <v>0</v>
      </c>
      <c r="N16" s="134" t="s">
        <v>34</v>
      </c>
      <c r="O16" s="134">
        <f t="shared" si="152"/>
        <v>0</v>
      </c>
      <c r="P16" s="134" t="s">
        <v>34</v>
      </c>
      <c r="Q16" s="134">
        <f>'бюджеты поселений'!J16</f>
        <v>0</v>
      </c>
      <c r="R16" s="134" t="s">
        <v>34</v>
      </c>
      <c r="S16" s="134">
        <f t="shared" si="153"/>
        <v>0</v>
      </c>
      <c r="T16" s="134" t="s">
        <v>34</v>
      </c>
      <c r="U16" s="134">
        <f>'бюджеты поселений'!L16</f>
        <v>0</v>
      </c>
      <c r="V16" s="134" t="s">
        <v>34</v>
      </c>
      <c r="W16" s="134">
        <f t="shared" si="154"/>
        <v>0</v>
      </c>
      <c r="X16" s="134" t="s">
        <v>34</v>
      </c>
      <c r="Y16" s="134">
        <f>'бюджеты поселений'!N16</f>
        <v>0</v>
      </c>
      <c r="Z16" s="134" t="s">
        <v>34</v>
      </c>
      <c r="AA16" s="134">
        <f t="shared" si="155"/>
        <v>0</v>
      </c>
      <c r="AB16" s="134" t="s">
        <v>34</v>
      </c>
      <c r="AC16" s="134">
        <f>'бюджеты поселений'!P16</f>
        <v>0</v>
      </c>
      <c r="AD16" s="134" t="s">
        <v>34</v>
      </c>
      <c r="AE16" s="134">
        <f t="shared" si="156"/>
        <v>0</v>
      </c>
      <c r="AF16" s="134" t="s">
        <v>34</v>
      </c>
      <c r="AG16" s="134">
        <f>'бюджеты поселений'!R16</f>
        <v>0</v>
      </c>
      <c r="AH16" s="134" t="s">
        <v>34</v>
      </c>
      <c r="AI16" s="134">
        <f t="shared" si="157"/>
        <v>0</v>
      </c>
      <c r="AJ16" s="134" t="s">
        <v>34</v>
      </c>
      <c r="AK16" s="134">
        <f>'бюджеты поселений'!T16</f>
        <v>0</v>
      </c>
      <c r="AL16" s="134" t="s">
        <v>34</v>
      </c>
      <c r="AM16" s="134">
        <f t="shared" si="158"/>
        <v>0</v>
      </c>
      <c r="AN16" s="134" t="s">
        <v>34</v>
      </c>
      <c r="AO16" s="134">
        <f>'бюджеты поселений'!V16</f>
        <v>0</v>
      </c>
      <c r="AP16" s="134" t="s">
        <v>34</v>
      </c>
      <c r="AQ16" s="134">
        <f t="shared" si="159"/>
        <v>0</v>
      </c>
      <c r="AR16" s="134" t="s">
        <v>34</v>
      </c>
      <c r="AS16" s="134">
        <f>'бюджеты поселений'!X16</f>
        <v>0</v>
      </c>
      <c r="AT16" s="134" t="s">
        <v>34</v>
      </c>
      <c r="AU16" s="134">
        <f t="shared" si="160"/>
        <v>0</v>
      </c>
      <c r="AV16" s="134" t="s">
        <v>34</v>
      </c>
      <c r="AW16" s="134">
        <f>'бюджеты поселений'!Z16</f>
        <v>0</v>
      </c>
      <c r="AX16" s="134" t="s">
        <v>34</v>
      </c>
      <c r="AY16" s="134">
        <f>'бюджеты поселений'!AA16</f>
        <v>0</v>
      </c>
      <c r="AZ16" s="134" t="s">
        <v>34</v>
      </c>
      <c r="BA16" s="135">
        <f t="shared" si="149"/>
        <v>1</v>
      </c>
      <c r="BB16" s="135" t="s">
        <v>34</v>
      </c>
      <c r="BC16" s="134">
        <f>'бюджеты поселений'!AC16</f>
        <v>0</v>
      </c>
      <c r="BD16" s="134" t="s">
        <v>34</v>
      </c>
      <c r="BE16" s="134">
        <f>'бюджеты поселений'!AD16</f>
        <v>0</v>
      </c>
      <c r="BF16" s="134" t="s">
        <v>34</v>
      </c>
      <c r="BG16" s="134">
        <f t="shared" si="161"/>
        <v>0</v>
      </c>
      <c r="BH16" s="134" t="s">
        <v>34</v>
      </c>
      <c r="BI16" s="135">
        <f t="shared" si="36"/>
        <v>1</v>
      </c>
      <c r="BJ16" s="135" t="s">
        <v>34</v>
      </c>
      <c r="BK16" s="134">
        <f>'бюджеты поселений'!AG16</f>
        <v>0</v>
      </c>
      <c r="BL16" s="134" t="s">
        <v>34</v>
      </c>
      <c r="BM16" s="134">
        <f t="shared" si="162"/>
        <v>0</v>
      </c>
      <c r="BN16" s="134" t="s">
        <v>34</v>
      </c>
      <c r="BO16" s="135">
        <f t="shared" si="38"/>
        <v>1</v>
      </c>
      <c r="BP16" s="135" t="s">
        <v>34</v>
      </c>
      <c r="BQ16" s="134">
        <f>'бюджеты поселений'!AJ16</f>
        <v>0</v>
      </c>
      <c r="BR16" s="134" t="s">
        <v>34</v>
      </c>
      <c r="BS16" s="134">
        <f t="shared" si="163"/>
        <v>0</v>
      </c>
      <c r="BT16" s="134" t="s">
        <v>34</v>
      </c>
      <c r="BU16" s="135">
        <f t="shared" si="40"/>
        <v>1</v>
      </c>
      <c r="BV16" s="134" t="s">
        <v>34</v>
      </c>
      <c r="BW16" s="134">
        <f>'бюджеты поселений'!AM16</f>
        <v>0</v>
      </c>
      <c r="BX16" s="134" t="s">
        <v>34</v>
      </c>
      <c r="BY16" s="134">
        <f t="shared" si="164"/>
        <v>0</v>
      </c>
      <c r="BZ16" s="134" t="s">
        <v>34</v>
      </c>
      <c r="CA16" s="135">
        <f t="shared" si="42"/>
        <v>1</v>
      </c>
      <c r="CB16" s="134" t="s">
        <v>34</v>
      </c>
      <c r="CC16" s="134">
        <f>'бюджеты поселений'!AP16</f>
        <v>0</v>
      </c>
      <c r="CD16" s="134" t="s">
        <v>34</v>
      </c>
      <c r="CE16" s="134">
        <f t="shared" si="165"/>
        <v>0</v>
      </c>
      <c r="CF16" s="134" t="s">
        <v>34</v>
      </c>
      <c r="CG16" s="135">
        <f t="shared" si="44"/>
        <v>1</v>
      </c>
      <c r="CH16" s="134" t="s">
        <v>34</v>
      </c>
      <c r="CI16" s="134">
        <f>'бюджеты поселений'!AS16</f>
        <v>0</v>
      </c>
      <c r="CJ16" s="134" t="s">
        <v>34</v>
      </c>
      <c r="CK16" s="134">
        <f t="shared" si="166"/>
        <v>0</v>
      </c>
      <c r="CL16" s="134" t="s">
        <v>34</v>
      </c>
      <c r="CM16" s="135">
        <f t="shared" si="46"/>
        <v>1</v>
      </c>
      <c r="CN16" s="134" t="s">
        <v>34</v>
      </c>
      <c r="CO16" s="134">
        <f>'бюджеты поселений'!AV16</f>
        <v>0</v>
      </c>
      <c r="CP16" s="134" t="s">
        <v>34</v>
      </c>
      <c r="CQ16" s="134">
        <f t="shared" si="167"/>
        <v>0</v>
      </c>
      <c r="CR16" s="134" t="s">
        <v>34</v>
      </c>
      <c r="CS16" s="135">
        <f t="shared" si="48"/>
        <v>1</v>
      </c>
      <c r="CT16" s="134" t="s">
        <v>34</v>
      </c>
      <c r="CU16" s="134">
        <f>'бюджеты поселений'!AY16</f>
        <v>0</v>
      </c>
      <c r="CV16" s="134" t="s">
        <v>34</v>
      </c>
      <c r="CW16" s="134">
        <f t="shared" si="168"/>
        <v>0</v>
      </c>
      <c r="CX16" s="134" t="s">
        <v>34</v>
      </c>
      <c r="CY16" s="135">
        <f t="shared" si="50"/>
        <v>1</v>
      </c>
      <c r="CZ16" s="134" t="s">
        <v>34</v>
      </c>
      <c r="DA16" s="134">
        <f>'бюджеты поселений'!BB16</f>
        <v>0</v>
      </c>
      <c r="DB16" s="134" t="s">
        <v>34</v>
      </c>
      <c r="DC16" s="134">
        <f t="shared" si="169"/>
        <v>0</v>
      </c>
      <c r="DD16" s="134" t="s">
        <v>34</v>
      </c>
      <c r="DE16" s="135">
        <f t="shared" si="52"/>
        <v>1</v>
      </c>
      <c r="DF16" s="134" t="s">
        <v>34</v>
      </c>
      <c r="DG16" s="134">
        <f>'бюджеты поселений'!BE16</f>
        <v>0</v>
      </c>
      <c r="DH16" s="134" t="s">
        <v>34</v>
      </c>
      <c r="DI16" s="134">
        <f t="shared" si="170"/>
        <v>0</v>
      </c>
      <c r="DJ16" s="134" t="s">
        <v>34</v>
      </c>
      <c r="DK16" s="135">
        <f t="shared" si="54"/>
        <v>1</v>
      </c>
      <c r="DL16" s="134" t="s">
        <v>34</v>
      </c>
      <c r="DM16" s="134">
        <f>'бюджеты поселений'!BH16</f>
        <v>0</v>
      </c>
      <c r="DN16" s="134" t="s">
        <v>34</v>
      </c>
      <c r="DO16" s="134">
        <f>'бюджеты поселений'!BI16</f>
        <v>0</v>
      </c>
      <c r="DP16" s="134" t="s">
        <v>34</v>
      </c>
      <c r="DQ16" s="134">
        <f>'бюджеты поселений'!BJ16</f>
        <v>0</v>
      </c>
      <c r="DR16" s="134" t="s">
        <v>34</v>
      </c>
      <c r="DS16" s="135">
        <f>IF($AY$16=0,1,DQ16/$AY$16-1)</f>
        <v>1</v>
      </c>
      <c r="DT16" s="134" t="s">
        <v>34</v>
      </c>
      <c r="DU16" s="135">
        <f t="shared" si="58"/>
        <v>1</v>
      </c>
      <c r="DV16" s="134" t="s">
        <v>34</v>
      </c>
      <c r="DW16" s="167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250" t="s">
        <v>36</v>
      </c>
      <c r="B17" s="251"/>
      <c r="C17" s="134">
        <f>'бюджет округа (района)'!C17+'бюджеты поселений'!C17</f>
        <v>0</v>
      </c>
      <c r="D17" s="134">
        <f>'бюджет округа (района)'!C17</f>
        <v>0</v>
      </c>
      <c r="E17" s="134">
        <f t="shared" si="150"/>
        <v>0</v>
      </c>
      <c r="F17" s="134">
        <f t="shared" si="150"/>
        <v>0</v>
      </c>
      <c r="G17" s="134">
        <f>'бюджет округа (района)'!E17+'бюджеты поселений'!E17</f>
        <v>0</v>
      </c>
      <c r="H17" s="134">
        <f>'бюджет округа (района)'!E17</f>
        <v>0</v>
      </c>
      <c r="I17" s="134">
        <f>'бюджет округа (района)'!F17+'бюджеты поселений'!F17</f>
        <v>0</v>
      </c>
      <c r="J17" s="134">
        <f>'бюджет округа (района)'!F17</f>
        <v>0</v>
      </c>
      <c r="K17" s="134">
        <f t="shared" si="151"/>
        <v>0</v>
      </c>
      <c r="L17" s="134">
        <f t="shared" si="151"/>
        <v>0</v>
      </c>
      <c r="M17" s="134">
        <f>'бюджет округа (района)'!H17+'бюджеты поселений'!H17</f>
        <v>0</v>
      </c>
      <c r="N17" s="134">
        <f>'бюджет округа (района)'!H17</f>
        <v>0</v>
      </c>
      <c r="O17" s="134">
        <f t="shared" si="152"/>
        <v>0</v>
      </c>
      <c r="P17" s="134">
        <f t="shared" si="152"/>
        <v>0</v>
      </c>
      <c r="Q17" s="134">
        <f>'бюджет округа (района)'!J17+'бюджеты поселений'!J17</f>
        <v>0</v>
      </c>
      <c r="R17" s="134">
        <f>'бюджет округа (района)'!J17</f>
        <v>0</v>
      </c>
      <c r="S17" s="134">
        <f t="shared" si="153"/>
        <v>0</v>
      </c>
      <c r="T17" s="134">
        <f t="shared" si="153"/>
        <v>0</v>
      </c>
      <c r="U17" s="134">
        <f>'бюджет округа (района)'!L17+'бюджеты поселений'!L17</f>
        <v>0</v>
      </c>
      <c r="V17" s="134">
        <f>'бюджет округа (района)'!L17</f>
        <v>0</v>
      </c>
      <c r="W17" s="134">
        <f t="shared" si="154"/>
        <v>0</v>
      </c>
      <c r="X17" s="134">
        <f t="shared" si="154"/>
        <v>0</v>
      </c>
      <c r="Y17" s="134">
        <f>'бюджет округа (района)'!N17+'бюджеты поселений'!N17</f>
        <v>0</v>
      </c>
      <c r="Z17" s="134">
        <f>'бюджет округа (района)'!N17</f>
        <v>0</v>
      </c>
      <c r="AA17" s="134">
        <f t="shared" si="155"/>
        <v>0</v>
      </c>
      <c r="AB17" s="134">
        <f t="shared" si="155"/>
        <v>0</v>
      </c>
      <c r="AC17" s="134">
        <f>'бюджет округа (района)'!P17+'бюджеты поселений'!P17</f>
        <v>0</v>
      </c>
      <c r="AD17" s="134">
        <f>'бюджет округа (района)'!P17</f>
        <v>0</v>
      </c>
      <c r="AE17" s="134">
        <f t="shared" si="156"/>
        <v>0</v>
      </c>
      <c r="AF17" s="134">
        <f t="shared" si="156"/>
        <v>0</v>
      </c>
      <c r="AG17" s="134">
        <f>'бюджет округа (района)'!R17+'бюджеты поселений'!R17</f>
        <v>0</v>
      </c>
      <c r="AH17" s="134">
        <f>'бюджет округа (района)'!R17</f>
        <v>0</v>
      </c>
      <c r="AI17" s="134">
        <f t="shared" si="157"/>
        <v>0</v>
      </c>
      <c r="AJ17" s="134">
        <f t="shared" si="157"/>
        <v>0</v>
      </c>
      <c r="AK17" s="134">
        <f>'бюджет округа (района)'!T17+'бюджеты поселений'!T17</f>
        <v>0</v>
      </c>
      <c r="AL17" s="134">
        <f>'бюджет округа (района)'!T17</f>
        <v>0</v>
      </c>
      <c r="AM17" s="134">
        <f t="shared" si="158"/>
        <v>0</v>
      </c>
      <c r="AN17" s="134">
        <f t="shared" si="158"/>
        <v>0</v>
      </c>
      <c r="AO17" s="134">
        <f>'бюджет округа (района)'!V17+'бюджеты поселений'!V17</f>
        <v>0</v>
      </c>
      <c r="AP17" s="134">
        <f>'бюджет округа (района)'!V17</f>
        <v>0</v>
      </c>
      <c r="AQ17" s="134">
        <f t="shared" si="159"/>
        <v>0</v>
      </c>
      <c r="AR17" s="134">
        <f t="shared" si="159"/>
        <v>0</v>
      </c>
      <c r="AS17" s="134">
        <f>'бюджет округа (района)'!X17+'бюджеты поселений'!X17</f>
        <v>0</v>
      </c>
      <c r="AT17" s="134">
        <f>'бюджет округа (района)'!X17</f>
        <v>0</v>
      </c>
      <c r="AU17" s="134">
        <f t="shared" si="160"/>
        <v>0</v>
      </c>
      <c r="AV17" s="134">
        <f t="shared" si="160"/>
        <v>0</v>
      </c>
      <c r="AW17" s="134">
        <f>'бюджет округа (района)'!Z17+'бюджеты поселений'!Z17</f>
        <v>0</v>
      </c>
      <c r="AX17" s="134">
        <f>'бюджет округа (района)'!Z17</f>
        <v>0</v>
      </c>
      <c r="AY17" s="134">
        <f>'бюджет округа (района)'!AA17+'бюджеты поселений'!AA17</f>
        <v>0</v>
      </c>
      <c r="AZ17" s="134">
        <f>'бюджет округа (района)'!AA17</f>
        <v>0</v>
      </c>
      <c r="BA17" s="135">
        <f t="shared" si="149"/>
        <v>1</v>
      </c>
      <c r="BB17" s="135">
        <f t="shared" si="149"/>
        <v>1</v>
      </c>
      <c r="BC17" s="134">
        <f>'бюджет округа (района)'!AC17+'бюджеты поселений'!AC17</f>
        <v>0</v>
      </c>
      <c r="BD17" s="134">
        <f>'бюджет округа (района)'!AC17</f>
        <v>0</v>
      </c>
      <c r="BE17" s="134">
        <f>'бюджет округа (района)'!AD17+'бюджеты поселений'!AD17</f>
        <v>0</v>
      </c>
      <c r="BF17" s="134">
        <f>'бюджет округа (района)'!AD17</f>
        <v>0</v>
      </c>
      <c r="BG17" s="134">
        <f t="shared" si="161"/>
        <v>0</v>
      </c>
      <c r="BH17" s="134">
        <f t="shared" si="161"/>
        <v>0</v>
      </c>
      <c r="BI17" s="135">
        <f t="shared" si="36"/>
        <v>1</v>
      </c>
      <c r="BJ17" s="135">
        <f t="shared" si="36"/>
        <v>1</v>
      </c>
      <c r="BK17" s="134">
        <f>'бюджет округа (района)'!AG17+'бюджеты поселений'!AG17</f>
        <v>0</v>
      </c>
      <c r="BL17" s="134">
        <f>'бюджет округа (района)'!AG17</f>
        <v>0</v>
      </c>
      <c r="BM17" s="134">
        <f t="shared" si="162"/>
        <v>0</v>
      </c>
      <c r="BN17" s="134">
        <f t="shared" si="162"/>
        <v>0</v>
      </c>
      <c r="BO17" s="135">
        <f t="shared" si="38"/>
        <v>1</v>
      </c>
      <c r="BP17" s="135">
        <f t="shared" si="38"/>
        <v>1</v>
      </c>
      <c r="BQ17" s="134">
        <f>'бюджет округа (района)'!AJ17+'бюджеты поселений'!AJ17</f>
        <v>0</v>
      </c>
      <c r="BR17" s="134">
        <f>'бюджет округа (района)'!AJ17</f>
        <v>0</v>
      </c>
      <c r="BS17" s="134">
        <f t="shared" si="163"/>
        <v>0</v>
      </c>
      <c r="BT17" s="134">
        <f t="shared" si="163"/>
        <v>0</v>
      </c>
      <c r="BU17" s="135">
        <f t="shared" si="40"/>
        <v>1</v>
      </c>
      <c r="BV17" s="135">
        <f t="shared" si="40"/>
        <v>1</v>
      </c>
      <c r="BW17" s="134">
        <f>'бюджет округа (района)'!AM17+'бюджеты поселений'!AM17</f>
        <v>0</v>
      </c>
      <c r="BX17" s="134">
        <f>'бюджет округа (района)'!AM17</f>
        <v>0</v>
      </c>
      <c r="BY17" s="134">
        <f t="shared" si="164"/>
        <v>0</v>
      </c>
      <c r="BZ17" s="134">
        <f t="shared" si="164"/>
        <v>0</v>
      </c>
      <c r="CA17" s="135">
        <f t="shared" si="42"/>
        <v>1</v>
      </c>
      <c r="CB17" s="135">
        <f t="shared" si="42"/>
        <v>1</v>
      </c>
      <c r="CC17" s="134">
        <f>'бюджет округа (района)'!AP17+'бюджеты поселений'!AP17</f>
        <v>0</v>
      </c>
      <c r="CD17" s="134">
        <f>'бюджет округа (района)'!AP17</f>
        <v>0</v>
      </c>
      <c r="CE17" s="134">
        <f t="shared" si="165"/>
        <v>0</v>
      </c>
      <c r="CF17" s="134">
        <f t="shared" si="165"/>
        <v>0</v>
      </c>
      <c r="CG17" s="135">
        <f t="shared" si="44"/>
        <v>1</v>
      </c>
      <c r="CH17" s="135">
        <f t="shared" si="44"/>
        <v>1</v>
      </c>
      <c r="CI17" s="134">
        <f>'бюджет округа (района)'!AS17+'бюджеты поселений'!AS17</f>
        <v>0</v>
      </c>
      <c r="CJ17" s="134">
        <f>'бюджет округа (района)'!AS17</f>
        <v>0</v>
      </c>
      <c r="CK17" s="134">
        <f t="shared" si="166"/>
        <v>0</v>
      </c>
      <c r="CL17" s="134">
        <f t="shared" si="166"/>
        <v>0</v>
      </c>
      <c r="CM17" s="135">
        <f t="shared" si="46"/>
        <v>1</v>
      </c>
      <c r="CN17" s="135">
        <f t="shared" si="46"/>
        <v>1</v>
      </c>
      <c r="CO17" s="134">
        <f>'бюджет округа (района)'!AV17+'бюджеты поселений'!AV17</f>
        <v>0</v>
      </c>
      <c r="CP17" s="134">
        <f>'бюджет округа (района)'!AV17</f>
        <v>0</v>
      </c>
      <c r="CQ17" s="134">
        <f t="shared" si="167"/>
        <v>0</v>
      </c>
      <c r="CR17" s="134">
        <f t="shared" si="167"/>
        <v>0</v>
      </c>
      <c r="CS17" s="135">
        <f t="shared" si="48"/>
        <v>1</v>
      </c>
      <c r="CT17" s="135">
        <f t="shared" si="48"/>
        <v>1</v>
      </c>
      <c r="CU17" s="134">
        <f>'бюджет округа (района)'!AY17+'бюджеты поселений'!AY17</f>
        <v>0</v>
      </c>
      <c r="CV17" s="134">
        <f>'бюджет округа (района)'!AY17</f>
        <v>0</v>
      </c>
      <c r="CW17" s="134">
        <f t="shared" si="168"/>
        <v>0</v>
      </c>
      <c r="CX17" s="134">
        <f t="shared" si="168"/>
        <v>0</v>
      </c>
      <c r="CY17" s="135">
        <f t="shared" si="50"/>
        <v>1</v>
      </c>
      <c r="CZ17" s="135">
        <f t="shared" si="50"/>
        <v>1</v>
      </c>
      <c r="DA17" s="134">
        <f>'бюджет округа (района)'!BB17+'бюджеты поселений'!BB17</f>
        <v>0</v>
      </c>
      <c r="DB17" s="134">
        <f>'бюджет округа (района)'!BB17</f>
        <v>0</v>
      </c>
      <c r="DC17" s="134">
        <f t="shared" si="169"/>
        <v>0</v>
      </c>
      <c r="DD17" s="134">
        <f t="shared" si="169"/>
        <v>0</v>
      </c>
      <c r="DE17" s="135">
        <f t="shared" si="52"/>
        <v>1</v>
      </c>
      <c r="DF17" s="135">
        <f t="shared" si="52"/>
        <v>1</v>
      </c>
      <c r="DG17" s="134">
        <f>'бюджет округа (района)'!BE17+'бюджеты поселений'!BE17</f>
        <v>0</v>
      </c>
      <c r="DH17" s="134">
        <f>'бюджет округа (района)'!BE17</f>
        <v>0</v>
      </c>
      <c r="DI17" s="134">
        <f t="shared" si="170"/>
        <v>0</v>
      </c>
      <c r="DJ17" s="134">
        <f t="shared" si="170"/>
        <v>0</v>
      </c>
      <c r="DK17" s="135">
        <f t="shared" si="54"/>
        <v>1</v>
      </c>
      <c r="DL17" s="135">
        <f t="shared" si="54"/>
        <v>1</v>
      </c>
      <c r="DM17" s="134">
        <f>'бюджет округа (района)'!BH17+'бюджеты поселений'!BH17</f>
        <v>0</v>
      </c>
      <c r="DN17" s="134">
        <f>'бюджет округа (района)'!BH17</f>
        <v>0</v>
      </c>
      <c r="DO17" s="134">
        <f>'бюджет округа (района)'!BI17+'бюджеты поселений'!BI17</f>
        <v>0</v>
      </c>
      <c r="DP17" s="134">
        <f>'бюджет округа (района)'!BI17</f>
        <v>0</v>
      </c>
      <c r="DQ17" s="134">
        <f>'бюджет округа (района)'!BJ17+'бюджеты поселений'!BJ17</f>
        <v>0</v>
      </c>
      <c r="DR17" s="134">
        <f>'бюджет округа (района)'!BJ17</f>
        <v>0</v>
      </c>
      <c r="DS17" s="135">
        <f>IF($AY$17=0,1,DQ17/$AY$17-1)</f>
        <v>1</v>
      </c>
      <c r="DT17" s="135">
        <f>IF($AZ$17=0,1,DR17/$AZ$17-1)</f>
        <v>1</v>
      </c>
      <c r="DU17" s="135">
        <f t="shared" si="58"/>
        <v>1</v>
      </c>
      <c r="DV17" s="135">
        <f t="shared" si="59"/>
        <v>1</v>
      </c>
      <c r="DW17" s="167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250" t="s">
        <v>37</v>
      </c>
      <c r="B18" s="251"/>
      <c r="C18" s="134">
        <f>'бюджет округа (района)'!C18+'бюджеты поселений'!C18</f>
        <v>0</v>
      </c>
      <c r="D18" s="134">
        <f>'бюджет округа (района)'!C18</f>
        <v>0</v>
      </c>
      <c r="E18" s="134">
        <f t="shared" si="150"/>
        <v>0</v>
      </c>
      <c r="F18" s="134">
        <f t="shared" si="150"/>
        <v>0</v>
      </c>
      <c r="G18" s="134">
        <f>'бюджет округа (района)'!E18+'бюджеты поселений'!E18</f>
        <v>0</v>
      </c>
      <c r="H18" s="134">
        <f>'бюджет округа (района)'!E18</f>
        <v>0</v>
      </c>
      <c r="I18" s="134">
        <f>'бюджет округа (района)'!F18+'бюджеты поселений'!F18</f>
        <v>0</v>
      </c>
      <c r="J18" s="134">
        <f>'бюджет округа (района)'!F18</f>
        <v>0</v>
      </c>
      <c r="K18" s="134">
        <f t="shared" si="151"/>
        <v>0</v>
      </c>
      <c r="L18" s="134">
        <f t="shared" si="151"/>
        <v>0</v>
      </c>
      <c r="M18" s="134">
        <f>'бюджет округа (района)'!H18+'бюджеты поселений'!H18</f>
        <v>0</v>
      </c>
      <c r="N18" s="134">
        <f>'бюджет округа (района)'!H18</f>
        <v>0</v>
      </c>
      <c r="O18" s="134">
        <f t="shared" si="152"/>
        <v>0</v>
      </c>
      <c r="P18" s="134">
        <f t="shared" si="152"/>
        <v>0</v>
      </c>
      <c r="Q18" s="134">
        <f>'бюджет округа (района)'!J18+'бюджеты поселений'!J18</f>
        <v>0</v>
      </c>
      <c r="R18" s="134">
        <f>'бюджет округа (района)'!J18</f>
        <v>0</v>
      </c>
      <c r="S18" s="134">
        <f t="shared" si="153"/>
        <v>0</v>
      </c>
      <c r="T18" s="134">
        <f t="shared" si="153"/>
        <v>0</v>
      </c>
      <c r="U18" s="134">
        <f>'бюджет округа (района)'!L18+'бюджеты поселений'!L18</f>
        <v>0</v>
      </c>
      <c r="V18" s="134">
        <f>'бюджет округа (района)'!L18</f>
        <v>0</v>
      </c>
      <c r="W18" s="134">
        <f t="shared" si="154"/>
        <v>0</v>
      </c>
      <c r="X18" s="134">
        <f t="shared" si="154"/>
        <v>0</v>
      </c>
      <c r="Y18" s="134">
        <f>'бюджет округа (района)'!N18+'бюджеты поселений'!N18</f>
        <v>0</v>
      </c>
      <c r="Z18" s="134">
        <f>'бюджет округа (района)'!N18</f>
        <v>0</v>
      </c>
      <c r="AA18" s="134">
        <f t="shared" si="155"/>
        <v>0</v>
      </c>
      <c r="AB18" s="134">
        <f t="shared" si="155"/>
        <v>0</v>
      </c>
      <c r="AC18" s="134">
        <f>'бюджет округа (района)'!P18+'бюджеты поселений'!P18</f>
        <v>0</v>
      </c>
      <c r="AD18" s="134">
        <f>'бюджет округа (района)'!P18</f>
        <v>0</v>
      </c>
      <c r="AE18" s="134">
        <f t="shared" si="156"/>
        <v>0</v>
      </c>
      <c r="AF18" s="134">
        <f t="shared" si="156"/>
        <v>0</v>
      </c>
      <c r="AG18" s="134">
        <f>'бюджет округа (района)'!R18+'бюджеты поселений'!R18</f>
        <v>0</v>
      </c>
      <c r="AH18" s="134">
        <f>'бюджет округа (района)'!R18</f>
        <v>0</v>
      </c>
      <c r="AI18" s="134">
        <f t="shared" si="157"/>
        <v>0</v>
      </c>
      <c r="AJ18" s="134">
        <f t="shared" si="157"/>
        <v>0</v>
      </c>
      <c r="AK18" s="134">
        <f>'бюджет округа (района)'!T18+'бюджеты поселений'!T18</f>
        <v>0</v>
      </c>
      <c r="AL18" s="134">
        <f>'бюджет округа (района)'!T18</f>
        <v>0</v>
      </c>
      <c r="AM18" s="134">
        <f t="shared" si="158"/>
        <v>0</v>
      </c>
      <c r="AN18" s="134">
        <f t="shared" si="158"/>
        <v>0</v>
      </c>
      <c r="AO18" s="134">
        <f>'бюджет округа (района)'!V18+'бюджеты поселений'!V18</f>
        <v>0</v>
      </c>
      <c r="AP18" s="134">
        <f>'бюджет округа (района)'!V18</f>
        <v>0</v>
      </c>
      <c r="AQ18" s="134">
        <f t="shared" si="159"/>
        <v>0</v>
      </c>
      <c r="AR18" s="134">
        <f t="shared" si="159"/>
        <v>0</v>
      </c>
      <c r="AS18" s="134">
        <f>'бюджет округа (района)'!X18+'бюджеты поселений'!X18</f>
        <v>0</v>
      </c>
      <c r="AT18" s="134">
        <f>'бюджет округа (района)'!X18</f>
        <v>0</v>
      </c>
      <c r="AU18" s="134">
        <f t="shared" si="160"/>
        <v>0</v>
      </c>
      <c r="AV18" s="134">
        <f t="shared" si="160"/>
        <v>0</v>
      </c>
      <c r="AW18" s="134">
        <f>'бюджет округа (района)'!Z18+'бюджеты поселений'!Z18</f>
        <v>0</v>
      </c>
      <c r="AX18" s="134">
        <f>'бюджет округа (района)'!Z18</f>
        <v>0</v>
      </c>
      <c r="AY18" s="134">
        <f>'бюджет округа (района)'!AA18+'бюджеты поселений'!AA18</f>
        <v>0</v>
      </c>
      <c r="AZ18" s="134">
        <f>'бюджет округа (района)'!AA18</f>
        <v>0</v>
      </c>
      <c r="BA18" s="135">
        <f t="shared" si="149"/>
        <v>1</v>
      </c>
      <c r="BB18" s="135">
        <f t="shared" si="149"/>
        <v>1</v>
      </c>
      <c r="BC18" s="134">
        <f>'бюджет округа (района)'!AC18+'бюджеты поселений'!AC18</f>
        <v>0</v>
      </c>
      <c r="BD18" s="134">
        <f>'бюджет округа (района)'!AC18</f>
        <v>0</v>
      </c>
      <c r="BE18" s="134">
        <f>'бюджет округа (района)'!AD18+'бюджеты поселений'!AD18</f>
        <v>0</v>
      </c>
      <c r="BF18" s="134">
        <f>'бюджет округа (района)'!AD18</f>
        <v>0</v>
      </c>
      <c r="BG18" s="134">
        <f t="shared" si="161"/>
        <v>0</v>
      </c>
      <c r="BH18" s="134">
        <f t="shared" si="161"/>
        <v>0</v>
      </c>
      <c r="BI18" s="135">
        <f t="shared" si="36"/>
        <v>1</v>
      </c>
      <c r="BJ18" s="135">
        <f t="shared" si="36"/>
        <v>1</v>
      </c>
      <c r="BK18" s="134">
        <f>'бюджет округа (района)'!AG18+'бюджеты поселений'!AG18</f>
        <v>0</v>
      </c>
      <c r="BL18" s="134">
        <f>'бюджет округа (района)'!AG18</f>
        <v>0</v>
      </c>
      <c r="BM18" s="134">
        <f t="shared" si="162"/>
        <v>0</v>
      </c>
      <c r="BN18" s="134">
        <f t="shared" si="162"/>
        <v>0</v>
      </c>
      <c r="BO18" s="135">
        <f t="shared" si="38"/>
        <v>1</v>
      </c>
      <c r="BP18" s="135">
        <f t="shared" si="38"/>
        <v>1</v>
      </c>
      <c r="BQ18" s="134">
        <f>'бюджет округа (района)'!AJ18+'бюджеты поселений'!AJ18</f>
        <v>0</v>
      </c>
      <c r="BR18" s="134">
        <f>'бюджет округа (района)'!AJ18</f>
        <v>0</v>
      </c>
      <c r="BS18" s="134">
        <f t="shared" si="163"/>
        <v>0</v>
      </c>
      <c r="BT18" s="134">
        <f t="shared" si="163"/>
        <v>0</v>
      </c>
      <c r="BU18" s="135">
        <f t="shared" si="40"/>
        <v>1</v>
      </c>
      <c r="BV18" s="135">
        <f t="shared" si="40"/>
        <v>1</v>
      </c>
      <c r="BW18" s="134">
        <f>'бюджет округа (района)'!AM18+'бюджеты поселений'!AM18</f>
        <v>0</v>
      </c>
      <c r="BX18" s="134">
        <f>'бюджет округа (района)'!AM18</f>
        <v>0</v>
      </c>
      <c r="BY18" s="134">
        <f t="shared" si="164"/>
        <v>0</v>
      </c>
      <c r="BZ18" s="134">
        <f t="shared" si="164"/>
        <v>0</v>
      </c>
      <c r="CA18" s="135">
        <f t="shared" si="42"/>
        <v>1</v>
      </c>
      <c r="CB18" s="135">
        <f t="shared" si="42"/>
        <v>1</v>
      </c>
      <c r="CC18" s="134">
        <f>'бюджет округа (района)'!AP18+'бюджеты поселений'!AP18</f>
        <v>0</v>
      </c>
      <c r="CD18" s="134">
        <f>'бюджет округа (района)'!AP18</f>
        <v>0</v>
      </c>
      <c r="CE18" s="134">
        <f t="shared" si="165"/>
        <v>0</v>
      </c>
      <c r="CF18" s="134">
        <f t="shared" si="165"/>
        <v>0</v>
      </c>
      <c r="CG18" s="135">
        <f t="shared" si="44"/>
        <v>1</v>
      </c>
      <c r="CH18" s="135">
        <f t="shared" si="44"/>
        <v>1</v>
      </c>
      <c r="CI18" s="134">
        <f>'бюджет округа (района)'!AS18+'бюджеты поселений'!AS18</f>
        <v>0</v>
      </c>
      <c r="CJ18" s="134">
        <f>'бюджет округа (района)'!AS18</f>
        <v>0</v>
      </c>
      <c r="CK18" s="134">
        <f t="shared" si="166"/>
        <v>0</v>
      </c>
      <c r="CL18" s="134">
        <f t="shared" si="166"/>
        <v>0</v>
      </c>
      <c r="CM18" s="135">
        <f t="shared" si="46"/>
        <v>1</v>
      </c>
      <c r="CN18" s="135">
        <f t="shared" si="46"/>
        <v>1</v>
      </c>
      <c r="CO18" s="134">
        <f>'бюджет округа (района)'!AV18+'бюджеты поселений'!AV18</f>
        <v>0</v>
      </c>
      <c r="CP18" s="134">
        <f>'бюджет округа (района)'!AV18</f>
        <v>0</v>
      </c>
      <c r="CQ18" s="134">
        <f t="shared" si="167"/>
        <v>0</v>
      </c>
      <c r="CR18" s="134">
        <f t="shared" si="167"/>
        <v>0</v>
      </c>
      <c r="CS18" s="135">
        <f t="shared" si="48"/>
        <v>1</v>
      </c>
      <c r="CT18" s="135">
        <f t="shared" si="48"/>
        <v>1</v>
      </c>
      <c r="CU18" s="134">
        <f>'бюджет округа (района)'!AY18+'бюджеты поселений'!AY18</f>
        <v>0</v>
      </c>
      <c r="CV18" s="134">
        <f>'бюджет округа (района)'!AY18</f>
        <v>0</v>
      </c>
      <c r="CW18" s="134">
        <f t="shared" si="168"/>
        <v>0</v>
      </c>
      <c r="CX18" s="134">
        <f t="shared" si="168"/>
        <v>0</v>
      </c>
      <c r="CY18" s="135">
        <f t="shared" si="50"/>
        <v>1</v>
      </c>
      <c r="CZ18" s="135">
        <f t="shared" si="50"/>
        <v>1</v>
      </c>
      <c r="DA18" s="134">
        <f>'бюджет округа (района)'!BB18+'бюджеты поселений'!BB18</f>
        <v>0</v>
      </c>
      <c r="DB18" s="134">
        <f>'бюджет округа (района)'!BB18</f>
        <v>0</v>
      </c>
      <c r="DC18" s="134">
        <f t="shared" si="169"/>
        <v>0</v>
      </c>
      <c r="DD18" s="134">
        <f t="shared" si="169"/>
        <v>0</v>
      </c>
      <c r="DE18" s="135">
        <f t="shared" si="52"/>
        <v>1</v>
      </c>
      <c r="DF18" s="135">
        <f t="shared" si="52"/>
        <v>1</v>
      </c>
      <c r="DG18" s="134">
        <f>'бюджет округа (района)'!BE18+'бюджеты поселений'!BE18</f>
        <v>0</v>
      </c>
      <c r="DH18" s="134">
        <f>'бюджет округа (района)'!BE18</f>
        <v>0</v>
      </c>
      <c r="DI18" s="134">
        <f t="shared" si="170"/>
        <v>0</v>
      </c>
      <c r="DJ18" s="134">
        <f t="shared" si="170"/>
        <v>0</v>
      </c>
      <c r="DK18" s="135">
        <f t="shared" si="54"/>
        <v>1</v>
      </c>
      <c r="DL18" s="135">
        <f t="shared" si="54"/>
        <v>1</v>
      </c>
      <c r="DM18" s="134">
        <f>'бюджет округа (района)'!BH18+'бюджеты поселений'!BH18</f>
        <v>0</v>
      </c>
      <c r="DN18" s="134">
        <f>'бюджет округа (района)'!BH18</f>
        <v>0</v>
      </c>
      <c r="DO18" s="134">
        <f>'бюджет округа (района)'!BI18+'бюджеты поселений'!BI18</f>
        <v>0</v>
      </c>
      <c r="DP18" s="134">
        <f>'бюджет округа (района)'!BI18</f>
        <v>0</v>
      </c>
      <c r="DQ18" s="134">
        <f>'бюджет округа (района)'!BJ18+'бюджеты поселений'!BJ18</f>
        <v>0</v>
      </c>
      <c r="DR18" s="134">
        <f>'бюджет округа (района)'!BJ18</f>
        <v>0</v>
      </c>
      <c r="DS18" s="135">
        <f>IF($AY$18=0,1,DQ18/$AY$18-1)</f>
        <v>1</v>
      </c>
      <c r="DT18" s="135">
        <f>IF($AZ$18=0,1,DR18/$AZ$18-1)</f>
        <v>1</v>
      </c>
      <c r="DU18" s="135">
        <f t="shared" si="58"/>
        <v>1</v>
      </c>
      <c r="DV18" s="135">
        <f t="shared" si="59"/>
        <v>1</v>
      </c>
      <c r="DW18" s="167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250" t="s">
        <v>38</v>
      </c>
      <c r="B19" s="251"/>
      <c r="C19" s="134">
        <f>'бюджет округа (района)'!C19+'бюджеты поселений'!C19</f>
        <v>0</v>
      </c>
      <c r="D19" s="134">
        <f>'бюджет округа (района)'!C19</f>
        <v>0</v>
      </c>
      <c r="E19" s="134">
        <f t="shared" si="150"/>
        <v>0</v>
      </c>
      <c r="F19" s="134">
        <f t="shared" si="150"/>
        <v>0</v>
      </c>
      <c r="G19" s="134">
        <f>'бюджет округа (района)'!E19+'бюджеты поселений'!E19</f>
        <v>0</v>
      </c>
      <c r="H19" s="134">
        <f>'бюджет округа (района)'!E19</f>
        <v>0</v>
      </c>
      <c r="I19" s="134">
        <f>'бюджет округа (района)'!F19+'бюджеты поселений'!F19</f>
        <v>0</v>
      </c>
      <c r="J19" s="134">
        <f>'бюджет округа (района)'!F19</f>
        <v>0</v>
      </c>
      <c r="K19" s="134">
        <f t="shared" si="151"/>
        <v>0</v>
      </c>
      <c r="L19" s="134">
        <f t="shared" si="151"/>
        <v>0</v>
      </c>
      <c r="M19" s="134">
        <f>'бюджет округа (района)'!H19+'бюджеты поселений'!H19</f>
        <v>0</v>
      </c>
      <c r="N19" s="134">
        <f>'бюджет округа (района)'!H19</f>
        <v>0</v>
      </c>
      <c r="O19" s="134">
        <f t="shared" si="152"/>
        <v>0</v>
      </c>
      <c r="P19" s="134">
        <f t="shared" si="152"/>
        <v>0</v>
      </c>
      <c r="Q19" s="134">
        <f>'бюджет округа (района)'!J19+'бюджеты поселений'!J19</f>
        <v>0</v>
      </c>
      <c r="R19" s="134">
        <f>'бюджет округа (района)'!J19</f>
        <v>0</v>
      </c>
      <c r="S19" s="134">
        <f t="shared" si="153"/>
        <v>0</v>
      </c>
      <c r="T19" s="134">
        <f t="shared" si="153"/>
        <v>0</v>
      </c>
      <c r="U19" s="134">
        <f>'бюджет округа (района)'!L19+'бюджеты поселений'!L19</f>
        <v>0</v>
      </c>
      <c r="V19" s="134">
        <f>'бюджет округа (района)'!L19</f>
        <v>0</v>
      </c>
      <c r="W19" s="134">
        <f t="shared" si="154"/>
        <v>0</v>
      </c>
      <c r="X19" s="134">
        <f t="shared" si="154"/>
        <v>0</v>
      </c>
      <c r="Y19" s="134">
        <f>'бюджет округа (района)'!N19+'бюджеты поселений'!N19</f>
        <v>0</v>
      </c>
      <c r="Z19" s="134">
        <f>'бюджет округа (района)'!N19</f>
        <v>0</v>
      </c>
      <c r="AA19" s="134">
        <f t="shared" si="155"/>
        <v>0</v>
      </c>
      <c r="AB19" s="134">
        <f t="shared" si="155"/>
        <v>0</v>
      </c>
      <c r="AC19" s="134">
        <f>'бюджет округа (района)'!P19+'бюджеты поселений'!P19</f>
        <v>0</v>
      </c>
      <c r="AD19" s="134">
        <f>'бюджет округа (района)'!P19</f>
        <v>0</v>
      </c>
      <c r="AE19" s="134">
        <f t="shared" si="156"/>
        <v>0</v>
      </c>
      <c r="AF19" s="134">
        <f t="shared" si="156"/>
        <v>0</v>
      </c>
      <c r="AG19" s="134">
        <f>'бюджет округа (района)'!R19+'бюджеты поселений'!R19</f>
        <v>0</v>
      </c>
      <c r="AH19" s="134">
        <f>'бюджет округа (района)'!R19</f>
        <v>0</v>
      </c>
      <c r="AI19" s="134">
        <f t="shared" si="157"/>
        <v>0</v>
      </c>
      <c r="AJ19" s="134">
        <f t="shared" si="157"/>
        <v>0</v>
      </c>
      <c r="AK19" s="134">
        <f>'бюджет округа (района)'!T19+'бюджеты поселений'!T19</f>
        <v>0</v>
      </c>
      <c r="AL19" s="134">
        <f>'бюджет округа (района)'!T19</f>
        <v>0</v>
      </c>
      <c r="AM19" s="134">
        <f t="shared" si="158"/>
        <v>0</v>
      </c>
      <c r="AN19" s="134">
        <f t="shared" si="158"/>
        <v>0</v>
      </c>
      <c r="AO19" s="134">
        <f>'бюджет округа (района)'!V19+'бюджеты поселений'!V19</f>
        <v>0</v>
      </c>
      <c r="AP19" s="134">
        <f>'бюджет округа (района)'!V19</f>
        <v>0</v>
      </c>
      <c r="AQ19" s="134">
        <f t="shared" si="159"/>
        <v>0</v>
      </c>
      <c r="AR19" s="134">
        <f t="shared" si="159"/>
        <v>0</v>
      </c>
      <c r="AS19" s="134">
        <f>'бюджет округа (района)'!X19+'бюджеты поселений'!X19</f>
        <v>0</v>
      </c>
      <c r="AT19" s="134">
        <f>'бюджет округа (района)'!X19</f>
        <v>0</v>
      </c>
      <c r="AU19" s="134">
        <f t="shared" si="160"/>
        <v>0</v>
      </c>
      <c r="AV19" s="134">
        <f t="shared" si="160"/>
        <v>0</v>
      </c>
      <c r="AW19" s="134">
        <f>'бюджет округа (района)'!Z19+'бюджеты поселений'!Z19</f>
        <v>0</v>
      </c>
      <c r="AX19" s="134">
        <f>'бюджет округа (района)'!Z19</f>
        <v>0</v>
      </c>
      <c r="AY19" s="134">
        <f>'бюджет округа (района)'!AA19+'бюджеты поселений'!AA19</f>
        <v>0</v>
      </c>
      <c r="AZ19" s="134">
        <f>'бюджет округа (района)'!AA19</f>
        <v>0</v>
      </c>
      <c r="BA19" s="135">
        <f t="shared" si="149"/>
        <v>1</v>
      </c>
      <c r="BB19" s="135">
        <f t="shared" si="149"/>
        <v>1</v>
      </c>
      <c r="BC19" s="134">
        <f>'бюджет округа (района)'!AC19+'бюджеты поселений'!AC19</f>
        <v>0</v>
      </c>
      <c r="BD19" s="134">
        <f>'бюджет округа (района)'!AC19</f>
        <v>0</v>
      </c>
      <c r="BE19" s="134">
        <f>'бюджет округа (района)'!AD19+'бюджеты поселений'!AD19</f>
        <v>0</v>
      </c>
      <c r="BF19" s="134">
        <f>'бюджет округа (района)'!AD19</f>
        <v>0</v>
      </c>
      <c r="BG19" s="134">
        <f t="shared" si="161"/>
        <v>0</v>
      </c>
      <c r="BH19" s="134">
        <f t="shared" si="161"/>
        <v>0</v>
      </c>
      <c r="BI19" s="135">
        <f t="shared" si="36"/>
        <v>1</v>
      </c>
      <c r="BJ19" s="135">
        <f t="shared" si="36"/>
        <v>1</v>
      </c>
      <c r="BK19" s="134">
        <f>'бюджет округа (района)'!AG19+'бюджеты поселений'!AG19</f>
        <v>0</v>
      </c>
      <c r="BL19" s="134">
        <f>'бюджет округа (района)'!AG19</f>
        <v>0</v>
      </c>
      <c r="BM19" s="134">
        <f t="shared" si="162"/>
        <v>0</v>
      </c>
      <c r="BN19" s="134">
        <f t="shared" si="162"/>
        <v>0</v>
      </c>
      <c r="BO19" s="135">
        <f t="shared" si="38"/>
        <v>1</v>
      </c>
      <c r="BP19" s="135">
        <f t="shared" si="38"/>
        <v>1</v>
      </c>
      <c r="BQ19" s="134">
        <f>'бюджет округа (района)'!AJ19+'бюджеты поселений'!AJ19</f>
        <v>0</v>
      </c>
      <c r="BR19" s="134">
        <f>'бюджет округа (района)'!AJ19</f>
        <v>0</v>
      </c>
      <c r="BS19" s="134">
        <f t="shared" si="163"/>
        <v>0</v>
      </c>
      <c r="BT19" s="134">
        <f t="shared" si="163"/>
        <v>0</v>
      </c>
      <c r="BU19" s="135">
        <f t="shared" si="40"/>
        <v>1</v>
      </c>
      <c r="BV19" s="135">
        <f t="shared" si="40"/>
        <v>1</v>
      </c>
      <c r="BW19" s="134">
        <f>'бюджет округа (района)'!AM19+'бюджеты поселений'!AM19</f>
        <v>0</v>
      </c>
      <c r="BX19" s="134">
        <f>'бюджет округа (района)'!AM19</f>
        <v>0</v>
      </c>
      <c r="BY19" s="134">
        <f t="shared" si="164"/>
        <v>0</v>
      </c>
      <c r="BZ19" s="134">
        <f t="shared" si="164"/>
        <v>0</v>
      </c>
      <c r="CA19" s="135">
        <f t="shared" si="42"/>
        <v>1</v>
      </c>
      <c r="CB19" s="135">
        <f t="shared" si="42"/>
        <v>1</v>
      </c>
      <c r="CC19" s="134">
        <f>'бюджет округа (района)'!AP19+'бюджеты поселений'!AP19</f>
        <v>0</v>
      </c>
      <c r="CD19" s="134">
        <f>'бюджет округа (района)'!AP19</f>
        <v>0</v>
      </c>
      <c r="CE19" s="134">
        <f t="shared" si="165"/>
        <v>0</v>
      </c>
      <c r="CF19" s="134">
        <f t="shared" si="165"/>
        <v>0</v>
      </c>
      <c r="CG19" s="135">
        <f t="shared" si="44"/>
        <v>1</v>
      </c>
      <c r="CH19" s="135">
        <f t="shared" si="44"/>
        <v>1</v>
      </c>
      <c r="CI19" s="134">
        <f>'бюджет округа (района)'!AS19+'бюджеты поселений'!AS19</f>
        <v>0</v>
      </c>
      <c r="CJ19" s="134">
        <f>'бюджет округа (района)'!AS19</f>
        <v>0</v>
      </c>
      <c r="CK19" s="134">
        <f t="shared" si="166"/>
        <v>0</v>
      </c>
      <c r="CL19" s="134">
        <f t="shared" si="166"/>
        <v>0</v>
      </c>
      <c r="CM19" s="135">
        <f t="shared" si="46"/>
        <v>1</v>
      </c>
      <c r="CN19" s="135">
        <f t="shared" si="46"/>
        <v>1</v>
      </c>
      <c r="CO19" s="134">
        <f>'бюджет округа (района)'!AV19+'бюджеты поселений'!AV19</f>
        <v>0</v>
      </c>
      <c r="CP19" s="134">
        <f>'бюджет округа (района)'!AV19</f>
        <v>0</v>
      </c>
      <c r="CQ19" s="134">
        <f t="shared" si="167"/>
        <v>0</v>
      </c>
      <c r="CR19" s="134">
        <f t="shared" si="167"/>
        <v>0</v>
      </c>
      <c r="CS19" s="135">
        <f t="shared" si="48"/>
        <v>1</v>
      </c>
      <c r="CT19" s="135">
        <f t="shared" si="48"/>
        <v>1</v>
      </c>
      <c r="CU19" s="134">
        <f>'бюджет округа (района)'!AY19+'бюджеты поселений'!AY19</f>
        <v>0</v>
      </c>
      <c r="CV19" s="134">
        <f>'бюджет округа (района)'!AY19</f>
        <v>0</v>
      </c>
      <c r="CW19" s="134">
        <f t="shared" si="168"/>
        <v>0</v>
      </c>
      <c r="CX19" s="134">
        <f t="shared" si="168"/>
        <v>0</v>
      </c>
      <c r="CY19" s="135">
        <f t="shared" si="50"/>
        <v>1</v>
      </c>
      <c r="CZ19" s="135">
        <f t="shared" si="50"/>
        <v>1</v>
      </c>
      <c r="DA19" s="134">
        <f>'бюджет округа (района)'!BB19+'бюджеты поселений'!BB19</f>
        <v>0</v>
      </c>
      <c r="DB19" s="134">
        <f>'бюджет округа (района)'!BB19</f>
        <v>0</v>
      </c>
      <c r="DC19" s="134">
        <f t="shared" si="169"/>
        <v>0</v>
      </c>
      <c r="DD19" s="134">
        <f t="shared" si="169"/>
        <v>0</v>
      </c>
      <c r="DE19" s="135">
        <f t="shared" si="52"/>
        <v>1</v>
      </c>
      <c r="DF19" s="135">
        <f t="shared" si="52"/>
        <v>1</v>
      </c>
      <c r="DG19" s="134">
        <f>'бюджет округа (района)'!BE19+'бюджеты поселений'!BE19</f>
        <v>0</v>
      </c>
      <c r="DH19" s="134">
        <f>'бюджет округа (района)'!BE19</f>
        <v>0</v>
      </c>
      <c r="DI19" s="134">
        <f t="shared" si="170"/>
        <v>0</v>
      </c>
      <c r="DJ19" s="134">
        <f t="shared" si="170"/>
        <v>0</v>
      </c>
      <c r="DK19" s="135">
        <f t="shared" si="54"/>
        <v>1</v>
      </c>
      <c r="DL19" s="135">
        <f t="shared" si="54"/>
        <v>1</v>
      </c>
      <c r="DM19" s="134">
        <f>'бюджет округа (района)'!BH19+'бюджеты поселений'!BH19</f>
        <v>0</v>
      </c>
      <c r="DN19" s="134">
        <f>'бюджет округа (района)'!BH19</f>
        <v>0</v>
      </c>
      <c r="DO19" s="134">
        <f>'бюджет округа (района)'!BI19+'бюджеты поселений'!BI19</f>
        <v>0</v>
      </c>
      <c r="DP19" s="134">
        <f>'бюджет округа (района)'!BI19</f>
        <v>0</v>
      </c>
      <c r="DQ19" s="134">
        <f>'бюджет округа (района)'!BJ19+'бюджеты поселений'!BJ19</f>
        <v>0</v>
      </c>
      <c r="DR19" s="134">
        <f>'бюджет округа (района)'!BJ19</f>
        <v>0</v>
      </c>
      <c r="DS19" s="135">
        <f>IF($AY$19=0,1,DQ19/$AY$19-1)</f>
        <v>1</v>
      </c>
      <c r="DT19" s="135">
        <f>IF($AZ$19=0,1,DR19/$AZ$19-1)</f>
        <v>1</v>
      </c>
      <c r="DU19" s="135">
        <f t="shared" si="58"/>
        <v>1</v>
      </c>
      <c r="DV19" s="135">
        <f t="shared" si="59"/>
        <v>1</v>
      </c>
      <c r="DW19" s="167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250" t="s">
        <v>39</v>
      </c>
      <c r="B20" s="251"/>
      <c r="C20" s="134">
        <f>'бюджет округа (района)'!C20+'бюджеты поселений'!C20</f>
        <v>0</v>
      </c>
      <c r="D20" s="134">
        <f>'бюджет округа (района)'!C20</f>
        <v>0</v>
      </c>
      <c r="E20" s="134">
        <f t="shared" si="150"/>
        <v>0</v>
      </c>
      <c r="F20" s="134">
        <f t="shared" si="150"/>
        <v>0</v>
      </c>
      <c r="G20" s="134">
        <f>'бюджет округа (района)'!E20+'бюджеты поселений'!E20</f>
        <v>0</v>
      </c>
      <c r="H20" s="134">
        <f>'бюджет округа (района)'!E20</f>
        <v>0</v>
      </c>
      <c r="I20" s="134">
        <f>'бюджет округа (района)'!F20+'бюджеты поселений'!F20</f>
        <v>0</v>
      </c>
      <c r="J20" s="134">
        <f>'бюджет округа (района)'!F20</f>
        <v>0</v>
      </c>
      <c r="K20" s="134">
        <f t="shared" si="151"/>
        <v>0</v>
      </c>
      <c r="L20" s="134">
        <f t="shared" si="151"/>
        <v>0</v>
      </c>
      <c r="M20" s="134">
        <f>'бюджет округа (района)'!H20+'бюджеты поселений'!H20</f>
        <v>0</v>
      </c>
      <c r="N20" s="134">
        <f>'бюджет округа (района)'!H20</f>
        <v>0</v>
      </c>
      <c r="O20" s="134">
        <f t="shared" si="152"/>
        <v>0</v>
      </c>
      <c r="P20" s="134">
        <f t="shared" si="152"/>
        <v>0</v>
      </c>
      <c r="Q20" s="134">
        <f>'бюджет округа (района)'!J20+'бюджеты поселений'!J20</f>
        <v>0</v>
      </c>
      <c r="R20" s="134">
        <f>'бюджет округа (района)'!J20</f>
        <v>0</v>
      </c>
      <c r="S20" s="134">
        <f t="shared" si="153"/>
        <v>0</v>
      </c>
      <c r="T20" s="134">
        <f t="shared" si="153"/>
        <v>0</v>
      </c>
      <c r="U20" s="134">
        <f>'бюджет округа (района)'!L20+'бюджеты поселений'!L20</f>
        <v>0</v>
      </c>
      <c r="V20" s="134">
        <f>'бюджет округа (района)'!L20</f>
        <v>0</v>
      </c>
      <c r="W20" s="134">
        <f t="shared" si="154"/>
        <v>0</v>
      </c>
      <c r="X20" s="134">
        <f t="shared" si="154"/>
        <v>0</v>
      </c>
      <c r="Y20" s="134">
        <f>'бюджет округа (района)'!N20+'бюджеты поселений'!N20</f>
        <v>0</v>
      </c>
      <c r="Z20" s="134">
        <f>'бюджет округа (района)'!N20</f>
        <v>0</v>
      </c>
      <c r="AA20" s="134">
        <f t="shared" si="155"/>
        <v>0</v>
      </c>
      <c r="AB20" s="134">
        <f t="shared" si="155"/>
        <v>0</v>
      </c>
      <c r="AC20" s="134">
        <f>'бюджет округа (района)'!P20+'бюджеты поселений'!P20</f>
        <v>0</v>
      </c>
      <c r="AD20" s="134">
        <f>'бюджет округа (района)'!P20</f>
        <v>0</v>
      </c>
      <c r="AE20" s="134">
        <f t="shared" si="156"/>
        <v>0</v>
      </c>
      <c r="AF20" s="134">
        <f t="shared" si="156"/>
        <v>0</v>
      </c>
      <c r="AG20" s="134">
        <f>'бюджет округа (района)'!R20+'бюджеты поселений'!R20</f>
        <v>0</v>
      </c>
      <c r="AH20" s="134">
        <f>'бюджет округа (района)'!R20</f>
        <v>0</v>
      </c>
      <c r="AI20" s="134">
        <f t="shared" si="157"/>
        <v>0</v>
      </c>
      <c r="AJ20" s="134">
        <f t="shared" si="157"/>
        <v>0</v>
      </c>
      <c r="AK20" s="134">
        <f>'бюджет округа (района)'!T20+'бюджеты поселений'!T20</f>
        <v>0</v>
      </c>
      <c r="AL20" s="134">
        <f>'бюджет округа (района)'!T20</f>
        <v>0</v>
      </c>
      <c r="AM20" s="134">
        <f t="shared" si="158"/>
        <v>0</v>
      </c>
      <c r="AN20" s="134">
        <f t="shared" si="158"/>
        <v>0</v>
      </c>
      <c r="AO20" s="134">
        <f>'бюджет округа (района)'!V20+'бюджеты поселений'!V20</f>
        <v>0</v>
      </c>
      <c r="AP20" s="134">
        <f>'бюджет округа (района)'!V20</f>
        <v>0</v>
      </c>
      <c r="AQ20" s="134">
        <f t="shared" si="159"/>
        <v>0</v>
      </c>
      <c r="AR20" s="134">
        <f t="shared" si="159"/>
        <v>0</v>
      </c>
      <c r="AS20" s="134">
        <f>'бюджет округа (района)'!X20+'бюджеты поселений'!X20</f>
        <v>0</v>
      </c>
      <c r="AT20" s="134">
        <f>'бюджет округа (района)'!X20</f>
        <v>0</v>
      </c>
      <c r="AU20" s="134">
        <f t="shared" si="160"/>
        <v>0</v>
      </c>
      <c r="AV20" s="134">
        <f t="shared" si="160"/>
        <v>0</v>
      </c>
      <c r="AW20" s="134">
        <f>'бюджет округа (района)'!Z20+'бюджеты поселений'!Z20</f>
        <v>0</v>
      </c>
      <c r="AX20" s="134">
        <f>'бюджет округа (района)'!Z20</f>
        <v>0</v>
      </c>
      <c r="AY20" s="134">
        <f>'бюджет округа (района)'!AA20+'бюджеты поселений'!AA20</f>
        <v>0</v>
      </c>
      <c r="AZ20" s="134">
        <f>'бюджет округа (района)'!AA20</f>
        <v>0</v>
      </c>
      <c r="BA20" s="135">
        <f t="shared" si="149"/>
        <v>1</v>
      </c>
      <c r="BB20" s="135">
        <f t="shared" si="149"/>
        <v>1</v>
      </c>
      <c r="BC20" s="134">
        <f>'бюджет округа (района)'!AC20+'бюджеты поселений'!AC20</f>
        <v>0</v>
      </c>
      <c r="BD20" s="134">
        <f>'бюджет округа (района)'!AC20</f>
        <v>0</v>
      </c>
      <c r="BE20" s="134">
        <f>'бюджет округа (района)'!AD20+'бюджеты поселений'!AD20</f>
        <v>0</v>
      </c>
      <c r="BF20" s="134">
        <f>'бюджет округа (района)'!AD20</f>
        <v>0</v>
      </c>
      <c r="BG20" s="134">
        <f t="shared" si="161"/>
        <v>0</v>
      </c>
      <c r="BH20" s="134">
        <f t="shared" si="161"/>
        <v>0</v>
      </c>
      <c r="BI20" s="135">
        <f t="shared" si="36"/>
        <v>1</v>
      </c>
      <c r="BJ20" s="135">
        <f t="shared" si="36"/>
        <v>1</v>
      </c>
      <c r="BK20" s="134">
        <f>'бюджет округа (района)'!AG20+'бюджеты поселений'!AG20</f>
        <v>0</v>
      </c>
      <c r="BL20" s="134">
        <f>'бюджет округа (района)'!AG20</f>
        <v>0</v>
      </c>
      <c r="BM20" s="134">
        <f t="shared" si="162"/>
        <v>0</v>
      </c>
      <c r="BN20" s="134">
        <f t="shared" si="162"/>
        <v>0</v>
      </c>
      <c r="BO20" s="135">
        <f t="shared" si="38"/>
        <v>1</v>
      </c>
      <c r="BP20" s="135">
        <f t="shared" si="38"/>
        <v>1</v>
      </c>
      <c r="BQ20" s="134">
        <f>'бюджет округа (района)'!AJ20+'бюджеты поселений'!AJ20</f>
        <v>0</v>
      </c>
      <c r="BR20" s="134">
        <f>'бюджет округа (района)'!AJ20</f>
        <v>0</v>
      </c>
      <c r="BS20" s="134">
        <f t="shared" si="163"/>
        <v>0</v>
      </c>
      <c r="BT20" s="134">
        <f t="shared" si="163"/>
        <v>0</v>
      </c>
      <c r="BU20" s="135">
        <f t="shared" si="40"/>
        <v>1</v>
      </c>
      <c r="BV20" s="135">
        <f t="shared" si="40"/>
        <v>1</v>
      </c>
      <c r="BW20" s="134">
        <f>'бюджет округа (района)'!AM20+'бюджеты поселений'!AM20</f>
        <v>0</v>
      </c>
      <c r="BX20" s="134">
        <f>'бюджет округа (района)'!AM20</f>
        <v>0</v>
      </c>
      <c r="BY20" s="134">
        <f t="shared" si="164"/>
        <v>0</v>
      </c>
      <c r="BZ20" s="134">
        <f t="shared" si="164"/>
        <v>0</v>
      </c>
      <c r="CA20" s="135">
        <f t="shared" si="42"/>
        <v>1</v>
      </c>
      <c r="CB20" s="135">
        <f t="shared" si="42"/>
        <v>1</v>
      </c>
      <c r="CC20" s="134">
        <f>'бюджет округа (района)'!AP20+'бюджеты поселений'!AP20</f>
        <v>0</v>
      </c>
      <c r="CD20" s="134">
        <f>'бюджет округа (района)'!AP20</f>
        <v>0</v>
      </c>
      <c r="CE20" s="134">
        <f t="shared" si="165"/>
        <v>0</v>
      </c>
      <c r="CF20" s="134">
        <f t="shared" si="165"/>
        <v>0</v>
      </c>
      <c r="CG20" s="135">
        <f t="shared" si="44"/>
        <v>1</v>
      </c>
      <c r="CH20" s="135">
        <f t="shared" si="44"/>
        <v>1</v>
      </c>
      <c r="CI20" s="134">
        <f>'бюджет округа (района)'!AS20+'бюджеты поселений'!AS20</f>
        <v>0</v>
      </c>
      <c r="CJ20" s="134">
        <f>'бюджет округа (района)'!AS20</f>
        <v>0</v>
      </c>
      <c r="CK20" s="134">
        <f t="shared" si="166"/>
        <v>0</v>
      </c>
      <c r="CL20" s="134">
        <f t="shared" si="166"/>
        <v>0</v>
      </c>
      <c r="CM20" s="135">
        <f t="shared" si="46"/>
        <v>1</v>
      </c>
      <c r="CN20" s="135">
        <f t="shared" si="46"/>
        <v>1</v>
      </c>
      <c r="CO20" s="134">
        <f>'бюджет округа (района)'!AV20+'бюджеты поселений'!AV20</f>
        <v>0</v>
      </c>
      <c r="CP20" s="134">
        <f>'бюджет округа (района)'!AV20</f>
        <v>0</v>
      </c>
      <c r="CQ20" s="134">
        <f t="shared" si="167"/>
        <v>0</v>
      </c>
      <c r="CR20" s="134">
        <f t="shared" si="167"/>
        <v>0</v>
      </c>
      <c r="CS20" s="135">
        <f t="shared" si="48"/>
        <v>1</v>
      </c>
      <c r="CT20" s="135">
        <f t="shared" si="48"/>
        <v>1</v>
      </c>
      <c r="CU20" s="134">
        <f>'бюджет округа (района)'!AY20+'бюджеты поселений'!AY20</f>
        <v>0</v>
      </c>
      <c r="CV20" s="134">
        <f>'бюджет округа (района)'!AY20</f>
        <v>0</v>
      </c>
      <c r="CW20" s="134">
        <f t="shared" si="168"/>
        <v>0</v>
      </c>
      <c r="CX20" s="134">
        <f t="shared" si="168"/>
        <v>0</v>
      </c>
      <c r="CY20" s="135">
        <f t="shared" si="50"/>
        <v>1</v>
      </c>
      <c r="CZ20" s="135">
        <f t="shared" si="50"/>
        <v>1</v>
      </c>
      <c r="DA20" s="134">
        <f>'бюджет округа (района)'!BB20+'бюджеты поселений'!BB20</f>
        <v>0</v>
      </c>
      <c r="DB20" s="134">
        <f>'бюджет округа (района)'!BB20</f>
        <v>0</v>
      </c>
      <c r="DC20" s="134">
        <f t="shared" si="169"/>
        <v>0</v>
      </c>
      <c r="DD20" s="134">
        <f t="shared" si="169"/>
        <v>0</v>
      </c>
      <c r="DE20" s="135">
        <f t="shared" si="52"/>
        <v>1</v>
      </c>
      <c r="DF20" s="135">
        <f t="shared" si="52"/>
        <v>1</v>
      </c>
      <c r="DG20" s="134">
        <f>'бюджет округа (района)'!BE20+'бюджеты поселений'!BE20</f>
        <v>0</v>
      </c>
      <c r="DH20" s="134">
        <f>'бюджет округа (района)'!BE20</f>
        <v>0</v>
      </c>
      <c r="DI20" s="134">
        <f t="shared" si="170"/>
        <v>0</v>
      </c>
      <c r="DJ20" s="134">
        <f t="shared" si="170"/>
        <v>0</v>
      </c>
      <c r="DK20" s="135">
        <f t="shared" si="54"/>
        <v>1</v>
      </c>
      <c r="DL20" s="135">
        <f t="shared" si="54"/>
        <v>1</v>
      </c>
      <c r="DM20" s="134">
        <f>'бюджет округа (района)'!BH20+'бюджеты поселений'!BH20</f>
        <v>0</v>
      </c>
      <c r="DN20" s="134">
        <f>'бюджет округа (района)'!BH20</f>
        <v>0</v>
      </c>
      <c r="DO20" s="134">
        <f>'бюджет округа (района)'!BI20+'бюджеты поселений'!BI20</f>
        <v>0</v>
      </c>
      <c r="DP20" s="134">
        <f>'бюджет округа (района)'!BI20</f>
        <v>0</v>
      </c>
      <c r="DQ20" s="134">
        <f>'бюджет округа (района)'!BJ20+'бюджеты поселений'!BJ20</f>
        <v>0</v>
      </c>
      <c r="DR20" s="134">
        <f>'бюджет округа (района)'!BJ20</f>
        <v>0</v>
      </c>
      <c r="DS20" s="135">
        <f>IF($AY$20=0,1,DQ20/$AY$20-1)</f>
        <v>1</v>
      </c>
      <c r="DT20" s="135">
        <f>IF($AZ$20=0,1,DR20/$AZ$20-1)</f>
        <v>1</v>
      </c>
      <c r="DU20" s="135">
        <f t="shared" si="58"/>
        <v>1</v>
      </c>
      <c r="DV20" s="135">
        <f t="shared" si="59"/>
        <v>1</v>
      </c>
      <c r="DW20" s="167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250" t="s">
        <v>40</v>
      </c>
      <c r="B21" s="251"/>
      <c r="C21" s="134">
        <f>'бюджет округа (района)'!C21+'бюджеты поселений'!C21</f>
        <v>0</v>
      </c>
      <c r="D21" s="134">
        <f>'бюджет округа (района)'!C21</f>
        <v>0</v>
      </c>
      <c r="E21" s="134">
        <f t="shared" si="150"/>
        <v>0</v>
      </c>
      <c r="F21" s="134">
        <f t="shared" si="150"/>
        <v>0</v>
      </c>
      <c r="G21" s="134">
        <f>'бюджет округа (района)'!E21+'бюджеты поселений'!E21</f>
        <v>0</v>
      </c>
      <c r="H21" s="134">
        <f>'бюджет округа (района)'!E21</f>
        <v>0</v>
      </c>
      <c r="I21" s="134">
        <f>'бюджет округа (района)'!F21+'бюджеты поселений'!F21</f>
        <v>0</v>
      </c>
      <c r="J21" s="134">
        <f>'бюджет округа (района)'!F21</f>
        <v>0</v>
      </c>
      <c r="K21" s="134">
        <f t="shared" si="151"/>
        <v>0</v>
      </c>
      <c r="L21" s="134">
        <f t="shared" si="151"/>
        <v>0</v>
      </c>
      <c r="M21" s="134">
        <f>'бюджет округа (района)'!H21+'бюджеты поселений'!H21</f>
        <v>0</v>
      </c>
      <c r="N21" s="134">
        <f>'бюджет округа (района)'!H21</f>
        <v>0</v>
      </c>
      <c r="O21" s="134">
        <f t="shared" si="152"/>
        <v>0</v>
      </c>
      <c r="P21" s="134">
        <f t="shared" si="152"/>
        <v>0</v>
      </c>
      <c r="Q21" s="134">
        <f>'бюджет округа (района)'!J21+'бюджеты поселений'!J21</f>
        <v>0</v>
      </c>
      <c r="R21" s="134">
        <f>'бюджет округа (района)'!J21</f>
        <v>0</v>
      </c>
      <c r="S21" s="134">
        <f t="shared" si="153"/>
        <v>0</v>
      </c>
      <c r="T21" s="134">
        <f t="shared" si="153"/>
        <v>0</v>
      </c>
      <c r="U21" s="134">
        <f>'бюджет округа (района)'!L21+'бюджеты поселений'!L21</f>
        <v>0</v>
      </c>
      <c r="V21" s="134">
        <f>'бюджет округа (района)'!L21</f>
        <v>0</v>
      </c>
      <c r="W21" s="134">
        <f t="shared" si="154"/>
        <v>0</v>
      </c>
      <c r="X21" s="134">
        <f t="shared" si="154"/>
        <v>0</v>
      </c>
      <c r="Y21" s="134">
        <f>'бюджет округа (района)'!N21+'бюджеты поселений'!N21</f>
        <v>0</v>
      </c>
      <c r="Z21" s="134">
        <f>'бюджет округа (района)'!N21</f>
        <v>0</v>
      </c>
      <c r="AA21" s="134">
        <f t="shared" si="155"/>
        <v>0</v>
      </c>
      <c r="AB21" s="134">
        <f t="shared" si="155"/>
        <v>0</v>
      </c>
      <c r="AC21" s="134">
        <f>'бюджет округа (района)'!P21+'бюджеты поселений'!P21</f>
        <v>0</v>
      </c>
      <c r="AD21" s="134">
        <f>'бюджет округа (района)'!P21</f>
        <v>0</v>
      </c>
      <c r="AE21" s="134">
        <f t="shared" si="156"/>
        <v>0</v>
      </c>
      <c r="AF21" s="134">
        <f t="shared" si="156"/>
        <v>0</v>
      </c>
      <c r="AG21" s="134">
        <f>'бюджет округа (района)'!R21+'бюджеты поселений'!R21</f>
        <v>0</v>
      </c>
      <c r="AH21" s="134">
        <f>'бюджет округа (района)'!R21</f>
        <v>0</v>
      </c>
      <c r="AI21" s="134">
        <f t="shared" si="157"/>
        <v>0</v>
      </c>
      <c r="AJ21" s="134">
        <f t="shared" si="157"/>
        <v>0</v>
      </c>
      <c r="AK21" s="134">
        <f>'бюджет округа (района)'!T21+'бюджеты поселений'!T21</f>
        <v>0</v>
      </c>
      <c r="AL21" s="134">
        <f>'бюджет округа (района)'!T21</f>
        <v>0</v>
      </c>
      <c r="AM21" s="134">
        <f t="shared" si="158"/>
        <v>0</v>
      </c>
      <c r="AN21" s="134">
        <f t="shared" si="158"/>
        <v>0</v>
      </c>
      <c r="AO21" s="134">
        <f>'бюджет округа (района)'!V21+'бюджеты поселений'!V21</f>
        <v>0</v>
      </c>
      <c r="AP21" s="134">
        <f>'бюджет округа (района)'!V21</f>
        <v>0</v>
      </c>
      <c r="AQ21" s="134">
        <f t="shared" si="159"/>
        <v>0</v>
      </c>
      <c r="AR21" s="134">
        <f t="shared" si="159"/>
        <v>0</v>
      </c>
      <c r="AS21" s="134">
        <f>'бюджет округа (района)'!X21+'бюджеты поселений'!X21</f>
        <v>0</v>
      </c>
      <c r="AT21" s="134">
        <f>'бюджет округа (района)'!X21</f>
        <v>0</v>
      </c>
      <c r="AU21" s="134">
        <f t="shared" si="160"/>
        <v>0</v>
      </c>
      <c r="AV21" s="134">
        <f t="shared" si="160"/>
        <v>0</v>
      </c>
      <c r="AW21" s="134">
        <f>'бюджет округа (района)'!Z21+'бюджеты поселений'!Z21</f>
        <v>0</v>
      </c>
      <c r="AX21" s="134">
        <f>'бюджет округа (района)'!Z21</f>
        <v>0</v>
      </c>
      <c r="AY21" s="134">
        <f>'бюджет округа (района)'!AA21+'бюджеты поселений'!AA21</f>
        <v>0</v>
      </c>
      <c r="AZ21" s="134">
        <f>'бюджет округа (района)'!AA21</f>
        <v>0</v>
      </c>
      <c r="BA21" s="135">
        <f t="shared" si="149"/>
        <v>1</v>
      </c>
      <c r="BB21" s="135">
        <f t="shared" si="149"/>
        <v>1</v>
      </c>
      <c r="BC21" s="134">
        <f>'бюджет округа (района)'!AC21+'бюджеты поселений'!AC21</f>
        <v>0</v>
      </c>
      <c r="BD21" s="134">
        <f>'бюджет округа (района)'!AC21</f>
        <v>0</v>
      </c>
      <c r="BE21" s="134">
        <f>'бюджет округа (района)'!AD21+'бюджеты поселений'!AD21</f>
        <v>0</v>
      </c>
      <c r="BF21" s="134">
        <f>'бюджет округа (района)'!AD21</f>
        <v>0</v>
      </c>
      <c r="BG21" s="134">
        <f t="shared" si="161"/>
        <v>0</v>
      </c>
      <c r="BH21" s="134">
        <f t="shared" si="161"/>
        <v>0</v>
      </c>
      <c r="BI21" s="135">
        <f t="shared" si="36"/>
        <v>1</v>
      </c>
      <c r="BJ21" s="135">
        <f t="shared" si="36"/>
        <v>1</v>
      </c>
      <c r="BK21" s="134">
        <f>'бюджет округа (района)'!AG21+'бюджеты поселений'!AG21</f>
        <v>0</v>
      </c>
      <c r="BL21" s="134">
        <f>'бюджет округа (района)'!AG21</f>
        <v>0</v>
      </c>
      <c r="BM21" s="134">
        <f t="shared" si="162"/>
        <v>0</v>
      </c>
      <c r="BN21" s="134">
        <f t="shared" si="162"/>
        <v>0</v>
      </c>
      <c r="BO21" s="135">
        <f t="shared" si="38"/>
        <v>1</v>
      </c>
      <c r="BP21" s="135">
        <f t="shared" si="38"/>
        <v>1</v>
      </c>
      <c r="BQ21" s="134">
        <f>'бюджет округа (района)'!AJ21+'бюджеты поселений'!AJ21</f>
        <v>0</v>
      </c>
      <c r="BR21" s="134">
        <f>'бюджет округа (района)'!AJ21</f>
        <v>0</v>
      </c>
      <c r="BS21" s="134">
        <f t="shared" si="163"/>
        <v>0</v>
      </c>
      <c r="BT21" s="134">
        <f t="shared" si="163"/>
        <v>0</v>
      </c>
      <c r="BU21" s="135">
        <f t="shared" si="40"/>
        <v>1</v>
      </c>
      <c r="BV21" s="135">
        <f t="shared" si="40"/>
        <v>1</v>
      </c>
      <c r="BW21" s="134">
        <f>'бюджет округа (района)'!AM21+'бюджеты поселений'!AM21</f>
        <v>0</v>
      </c>
      <c r="BX21" s="134">
        <f>'бюджет округа (района)'!AM21</f>
        <v>0</v>
      </c>
      <c r="BY21" s="134">
        <f t="shared" si="164"/>
        <v>0</v>
      </c>
      <c r="BZ21" s="134">
        <f t="shared" si="164"/>
        <v>0</v>
      </c>
      <c r="CA21" s="135">
        <f t="shared" si="42"/>
        <v>1</v>
      </c>
      <c r="CB21" s="135">
        <f t="shared" si="42"/>
        <v>1</v>
      </c>
      <c r="CC21" s="134">
        <f>'бюджет округа (района)'!AP21+'бюджеты поселений'!AP21</f>
        <v>0</v>
      </c>
      <c r="CD21" s="134">
        <f>'бюджет округа (района)'!AP21</f>
        <v>0</v>
      </c>
      <c r="CE21" s="134">
        <f t="shared" si="165"/>
        <v>0</v>
      </c>
      <c r="CF21" s="134">
        <f t="shared" si="165"/>
        <v>0</v>
      </c>
      <c r="CG21" s="135">
        <f t="shared" si="44"/>
        <v>1</v>
      </c>
      <c r="CH21" s="135">
        <f t="shared" si="44"/>
        <v>1</v>
      </c>
      <c r="CI21" s="134">
        <f>'бюджет округа (района)'!AS21+'бюджеты поселений'!AS21</f>
        <v>0</v>
      </c>
      <c r="CJ21" s="134">
        <f>'бюджет округа (района)'!AS21</f>
        <v>0</v>
      </c>
      <c r="CK21" s="134">
        <f t="shared" si="166"/>
        <v>0</v>
      </c>
      <c r="CL21" s="134">
        <f t="shared" si="166"/>
        <v>0</v>
      </c>
      <c r="CM21" s="135">
        <f t="shared" si="46"/>
        <v>1</v>
      </c>
      <c r="CN21" s="135">
        <f t="shared" si="46"/>
        <v>1</v>
      </c>
      <c r="CO21" s="134">
        <f>'бюджет округа (района)'!AV21+'бюджеты поселений'!AV21</f>
        <v>0</v>
      </c>
      <c r="CP21" s="134">
        <f>'бюджет округа (района)'!AV21</f>
        <v>0</v>
      </c>
      <c r="CQ21" s="134">
        <f t="shared" si="167"/>
        <v>0</v>
      </c>
      <c r="CR21" s="134">
        <f t="shared" si="167"/>
        <v>0</v>
      </c>
      <c r="CS21" s="135">
        <f t="shared" si="48"/>
        <v>1</v>
      </c>
      <c r="CT21" s="135">
        <f t="shared" si="48"/>
        <v>1</v>
      </c>
      <c r="CU21" s="134">
        <f>'бюджет округа (района)'!AY21+'бюджеты поселений'!AY21</f>
        <v>0</v>
      </c>
      <c r="CV21" s="134">
        <f>'бюджет округа (района)'!AY21</f>
        <v>0</v>
      </c>
      <c r="CW21" s="134">
        <f t="shared" si="168"/>
        <v>0</v>
      </c>
      <c r="CX21" s="134">
        <f t="shared" si="168"/>
        <v>0</v>
      </c>
      <c r="CY21" s="135">
        <f t="shared" si="50"/>
        <v>1</v>
      </c>
      <c r="CZ21" s="135">
        <f t="shared" si="50"/>
        <v>1</v>
      </c>
      <c r="DA21" s="134">
        <f>'бюджет округа (района)'!BB21+'бюджеты поселений'!BB21</f>
        <v>0</v>
      </c>
      <c r="DB21" s="134">
        <f>'бюджет округа (района)'!BB21</f>
        <v>0</v>
      </c>
      <c r="DC21" s="134">
        <f t="shared" si="169"/>
        <v>0</v>
      </c>
      <c r="DD21" s="134">
        <f t="shared" si="169"/>
        <v>0</v>
      </c>
      <c r="DE21" s="135">
        <f t="shared" si="52"/>
        <v>1</v>
      </c>
      <c r="DF21" s="135">
        <f t="shared" si="52"/>
        <v>1</v>
      </c>
      <c r="DG21" s="134">
        <f>'бюджет округа (района)'!BE21+'бюджеты поселений'!BE21</f>
        <v>0</v>
      </c>
      <c r="DH21" s="134">
        <f>'бюджет округа (района)'!BE21</f>
        <v>0</v>
      </c>
      <c r="DI21" s="134">
        <f t="shared" si="170"/>
        <v>0</v>
      </c>
      <c r="DJ21" s="134">
        <f t="shared" si="170"/>
        <v>0</v>
      </c>
      <c r="DK21" s="135">
        <f t="shared" si="54"/>
        <v>1</v>
      </c>
      <c r="DL21" s="135">
        <f t="shared" si="54"/>
        <v>1</v>
      </c>
      <c r="DM21" s="134">
        <f>'бюджет округа (района)'!BH21+'бюджеты поселений'!BH21</f>
        <v>0</v>
      </c>
      <c r="DN21" s="134">
        <f>'бюджет округа (района)'!BH21</f>
        <v>0</v>
      </c>
      <c r="DO21" s="134">
        <f>'бюджет округа (района)'!BI21+'бюджеты поселений'!BI21</f>
        <v>0</v>
      </c>
      <c r="DP21" s="134">
        <f>'бюджет округа (района)'!BI21</f>
        <v>0</v>
      </c>
      <c r="DQ21" s="134">
        <f>'бюджет округа (района)'!BJ21+'бюджеты поселений'!BJ21</f>
        <v>0</v>
      </c>
      <c r="DR21" s="134">
        <f>'бюджет округа (района)'!BJ21</f>
        <v>0</v>
      </c>
      <c r="DS21" s="135">
        <f>IF($AY$21=0,1,DQ21/$AY$21-1)</f>
        <v>1</v>
      </c>
      <c r="DT21" s="135">
        <f>IF($AZ$21=0,1,DR21/$AZ$21-1)</f>
        <v>1</v>
      </c>
      <c r="DU21" s="135">
        <f t="shared" si="58"/>
        <v>1</v>
      </c>
      <c r="DV21" s="135">
        <f t="shared" si="59"/>
        <v>1</v>
      </c>
      <c r="DW21" s="167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250" t="s">
        <v>41</v>
      </c>
      <c r="B22" s="251"/>
      <c r="C22" s="134">
        <f>'бюджет округа (района)'!C22+'бюджеты поселений'!C22</f>
        <v>0</v>
      </c>
      <c r="D22" s="134">
        <f>'бюджет округа (района)'!C22</f>
        <v>0</v>
      </c>
      <c r="E22" s="134">
        <f t="shared" si="150"/>
        <v>0</v>
      </c>
      <c r="F22" s="134">
        <f t="shared" si="150"/>
        <v>0</v>
      </c>
      <c r="G22" s="134">
        <f>'бюджет округа (района)'!E22+'бюджеты поселений'!E22</f>
        <v>0</v>
      </c>
      <c r="H22" s="134">
        <f>'бюджет округа (района)'!E22</f>
        <v>0</v>
      </c>
      <c r="I22" s="134">
        <f>'бюджет округа (района)'!F22+'бюджеты поселений'!F22</f>
        <v>0</v>
      </c>
      <c r="J22" s="134">
        <f>'бюджет округа (района)'!F22</f>
        <v>0</v>
      </c>
      <c r="K22" s="134">
        <f t="shared" si="151"/>
        <v>0</v>
      </c>
      <c r="L22" s="134">
        <f t="shared" si="151"/>
        <v>0</v>
      </c>
      <c r="M22" s="134">
        <f>'бюджет округа (района)'!H22+'бюджеты поселений'!H22</f>
        <v>0</v>
      </c>
      <c r="N22" s="134">
        <f>'бюджет округа (района)'!H22</f>
        <v>0</v>
      </c>
      <c r="O22" s="134">
        <f t="shared" si="152"/>
        <v>0</v>
      </c>
      <c r="P22" s="134">
        <f t="shared" si="152"/>
        <v>0</v>
      </c>
      <c r="Q22" s="134">
        <f>'бюджет округа (района)'!J22+'бюджеты поселений'!J22</f>
        <v>0</v>
      </c>
      <c r="R22" s="134">
        <f>'бюджет округа (района)'!J22</f>
        <v>0</v>
      </c>
      <c r="S22" s="134">
        <f t="shared" si="153"/>
        <v>0</v>
      </c>
      <c r="T22" s="134">
        <f t="shared" si="153"/>
        <v>0</v>
      </c>
      <c r="U22" s="134">
        <f>'бюджет округа (района)'!L22+'бюджеты поселений'!L22</f>
        <v>0</v>
      </c>
      <c r="V22" s="134">
        <f>'бюджет округа (района)'!L22</f>
        <v>0</v>
      </c>
      <c r="W22" s="134">
        <f t="shared" si="154"/>
        <v>0</v>
      </c>
      <c r="X22" s="134">
        <f t="shared" si="154"/>
        <v>0</v>
      </c>
      <c r="Y22" s="134">
        <f>'бюджет округа (района)'!N22+'бюджеты поселений'!N22</f>
        <v>0</v>
      </c>
      <c r="Z22" s="134">
        <f>'бюджет округа (района)'!N22</f>
        <v>0</v>
      </c>
      <c r="AA22" s="134">
        <f t="shared" si="155"/>
        <v>0</v>
      </c>
      <c r="AB22" s="134">
        <f t="shared" si="155"/>
        <v>0</v>
      </c>
      <c r="AC22" s="134">
        <f>'бюджет округа (района)'!P22+'бюджеты поселений'!P22</f>
        <v>0</v>
      </c>
      <c r="AD22" s="134">
        <f>'бюджет округа (района)'!P22</f>
        <v>0</v>
      </c>
      <c r="AE22" s="134">
        <f t="shared" si="156"/>
        <v>0</v>
      </c>
      <c r="AF22" s="134">
        <f t="shared" si="156"/>
        <v>0</v>
      </c>
      <c r="AG22" s="134">
        <f>'бюджет округа (района)'!R22+'бюджеты поселений'!R22</f>
        <v>0</v>
      </c>
      <c r="AH22" s="134">
        <f>'бюджет округа (района)'!R22</f>
        <v>0</v>
      </c>
      <c r="AI22" s="134">
        <f t="shared" si="157"/>
        <v>0</v>
      </c>
      <c r="AJ22" s="134">
        <f t="shared" si="157"/>
        <v>0</v>
      </c>
      <c r="AK22" s="134">
        <f>'бюджет округа (района)'!T22+'бюджеты поселений'!T22</f>
        <v>0</v>
      </c>
      <c r="AL22" s="134">
        <f>'бюджет округа (района)'!T22</f>
        <v>0</v>
      </c>
      <c r="AM22" s="134">
        <f t="shared" si="158"/>
        <v>0</v>
      </c>
      <c r="AN22" s="134">
        <f t="shared" si="158"/>
        <v>0</v>
      </c>
      <c r="AO22" s="134">
        <f>'бюджет округа (района)'!V22+'бюджеты поселений'!V22</f>
        <v>0</v>
      </c>
      <c r="AP22" s="134">
        <f>'бюджет округа (района)'!V22</f>
        <v>0</v>
      </c>
      <c r="AQ22" s="134">
        <f t="shared" si="159"/>
        <v>0</v>
      </c>
      <c r="AR22" s="134">
        <f t="shared" si="159"/>
        <v>0</v>
      </c>
      <c r="AS22" s="134">
        <f>'бюджет округа (района)'!X22+'бюджеты поселений'!X22</f>
        <v>0</v>
      </c>
      <c r="AT22" s="134">
        <f>'бюджет округа (района)'!X22</f>
        <v>0</v>
      </c>
      <c r="AU22" s="134">
        <f t="shared" si="160"/>
        <v>0</v>
      </c>
      <c r="AV22" s="134">
        <f t="shared" si="160"/>
        <v>0</v>
      </c>
      <c r="AW22" s="134">
        <f>'бюджет округа (района)'!Z22+'бюджеты поселений'!Z22</f>
        <v>0</v>
      </c>
      <c r="AX22" s="134">
        <f>'бюджет округа (района)'!Z22</f>
        <v>0</v>
      </c>
      <c r="AY22" s="134">
        <f>'бюджет округа (района)'!AA22+'бюджеты поселений'!AA22</f>
        <v>0</v>
      </c>
      <c r="AZ22" s="134">
        <f>'бюджет округа (района)'!AA22</f>
        <v>0</v>
      </c>
      <c r="BA22" s="135">
        <f t="shared" si="149"/>
        <v>1</v>
      </c>
      <c r="BB22" s="135">
        <f t="shared" si="149"/>
        <v>1</v>
      </c>
      <c r="BC22" s="134">
        <f>'бюджет округа (района)'!AC22+'бюджеты поселений'!AC22</f>
        <v>0</v>
      </c>
      <c r="BD22" s="134">
        <f>'бюджет округа (района)'!AC22</f>
        <v>0</v>
      </c>
      <c r="BE22" s="134">
        <f>'бюджет округа (района)'!AD22+'бюджеты поселений'!AD22</f>
        <v>0</v>
      </c>
      <c r="BF22" s="134">
        <f>'бюджет округа (района)'!AD22</f>
        <v>0</v>
      </c>
      <c r="BG22" s="134">
        <f t="shared" si="161"/>
        <v>0</v>
      </c>
      <c r="BH22" s="134">
        <f t="shared" si="161"/>
        <v>0</v>
      </c>
      <c r="BI22" s="135">
        <f t="shared" si="36"/>
        <v>1</v>
      </c>
      <c r="BJ22" s="135">
        <f t="shared" si="36"/>
        <v>1</v>
      </c>
      <c r="BK22" s="134">
        <f>'бюджет округа (района)'!AG22+'бюджеты поселений'!AG22</f>
        <v>0</v>
      </c>
      <c r="BL22" s="134">
        <f>'бюджет округа (района)'!AG22</f>
        <v>0</v>
      </c>
      <c r="BM22" s="134">
        <f t="shared" si="162"/>
        <v>0</v>
      </c>
      <c r="BN22" s="134">
        <f t="shared" si="162"/>
        <v>0</v>
      </c>
      <c r="BO22" s="135">
        <f t="shared" si="38"/>
        <v>1</v>
      </c>
      <c r="BP22" s="135">
        <f t="shared" si="38"/>
        <v>1</v>
      </c>
      <c r="BQ22" s="134">
        <f>'бюджет округа (района)'!AJ22+'бюджеты поселений'!AJ22</f>
        <v>0</v>
      </c>
      <c r="BR22" s="134">
        <f>'бюджет округа (района)'!AJ22</f>
        <v>0</v>
      </c>
      <c r="BS22" s="134">
        <f t="shared" si="163"/>
        <v>0</v>
      </c>
      <c r="BT22" s="134">
        <f t="shared" si="163"/>
        <v>0</v>
      </c>
      <c r="BU22" s="135">
        <f t="shared" si="40"/>
        <v>1</v>
      </c>
      <c r="BV22" s="135">
        <f t="shared" si="40"/>
        <v>1</v>
      </c>
      <c r="BW22" s="134">
        <f>'бюджет округа (района)'!AM22+'бюджеты поселений'!AM22</f>
        <v>0</v>
      </c>
      <c r="BX22" s="134">
        <f>'бюджет округа (района)'!AM22</f>
        <v>0</v>
      </c>
      <c r="BY22" s="134">
        <f t="shared" si="164"/>
        <v>0</v>
      </c>
      <c r="BZ22" s="134">
        <f t="shared" si="164"/>
        <v>0</v>
      </c>
      <c r="CA22" s="135">
        <f t="shared" si="42"/>
        <v>1</v>
      </c>
      <c r="CB22" s="135">
        <f t="shared" si="42"/>
        <v>1</v>
      </c>
      <c r="CC22" s="134">
        <f>'бюджет округа (района)'!AP22+'бюджеты поселений'!AP22</f>
        <v>0</v>
      </c>
      <c r="CD22" s="134">
        <f>'бюджет округа (района)'!AP22</f>
        <v>0</v>
      </c>
      <c r="CE22" s="134">
        <f t="shared" si="165"/>
        <v>0</v>
      </c>
      <c r="CF22" s="134">
        <f t="shared" si="165"/>
        <v>0</v>
      </c>
      <c r="CG22" s="135">
        <f t="shared" si="44"/>
        <v>1</v>
      </c>
      <c r="CH22" s="135">
        <f t="shared" si="44"/>
        <v>1</v>
      </c>
      <c r="CI22" s="134">
        <f>'бюджет округа (района)'!AS22+'бюджеты поселений'!AS22</f>
        <v>0</v>
      </c>
      <c r="CJ22" s="134">
        <f>'бюджет округа (района)'!AS22</f>
        <v>0</v>
      </c>
      <c r="CK22" s="134">
        <f t="shared" si="166"/>
        <v>0</v>
      </c>
      <c r="CL22" s="134">
        <f t="shared" si="166"/>
        <v>0</v>
      </c>
      <c r="CM22" s="135">
        <f t="shared" si="46"/>
        <v>1</v>
      </c>
      <c r="CN22" s="135">
        <f t="shared" si="46"/>
        <v>1</v>
      </c>
      <c r="CO22" s="134">
        <f>'бюджет округа (района)'!AV22+'бюджеты поселений'!AV22</f>
        <v>0</v>
      </c>
      <c r="CP22" s="134">
        <f>'бюджет округа (района)'!AV22</f>
        <v>0</v>
      </c>
      <c r="CQ22" s="134">
        <f t="shared" si="167"/>
        <v>0</v>
      </c>
      <c r="CR22" s="134">
        <f t="shared" si="167"/>
        <v>0</v>
      </c>
      <c r="CS22" s="135">
        <f t="shared" si="48"/>
        <v>1</v>
      </c>
      <c r="CT22" s="135">
        <f t="shared" si="48"/>
        <v>1</v>
      </c>
      <c r="CU22" s="134">
        <f>'бюджет округа (района)'!AY22+'бюджеты поселений'!AY22</f>
        <v>0</v>
      </c>
      <c r="CV22" s="134">
        <f>'бюджет округа (района)'!AY22</f>
        <v>0</v>
      </c>
      <c r="CW22" s="134">
        <f t="shared" si="168"/>
        <v>0</v>
      </c>
      <c r="CX22" s="134">
        <f t="shared" si="168"/>
        <v>0</v>
      </c>
      <c r="CY22" s="135">
        <f t="shared" si="50"/>
        <v>1</v>
      </c>
      <c r="CZ22" s="135">
        <f t="shared" si="50"/>
        <v>1</v>
      </c>
      <c r="DA22" s="134">
        <f>'бюджет округа (района)'!BB22+'бюджеты поселений'!BB22</f>
        <v>0</v>
      </c>
      <c r="DB22" s="134">
        <f>'бюджет округа (района)'!BB22</f>
        <v>0</v>
      </c>
      <c r="DC22" s="134">
        <f t="shared" si="169"/>
        <v>0</v>
      </c>
      <c r="DD22" s="134">
        <f t="shared" si="169"/>
        <v>0</v>
      </c>
      <c r="DE22" s="135">
        <f t="shared" si="52"/>
        <v>1</v>
      </c>
      <c r="DF22" s="135">
        <f t="shared" si="52"/>
        <v>1</v>
      </c>
      <c r="DG22" s="134">
        <f>'бюджет округа (района)'!BE22+'бюджеты поселений'!BE22</f>
        <v>0</v>
      </c>
      <c r="DH22" s="134">
        <f>'бюджет округа (района)'!BE22</f>
        <v>0</v>
      </c>
      <c r="DI22" s="134">
        <f t="shared" si="170"/>
        <v>0</v>
      </c>
      <c r="DJ22" s="134">
        <f t="shared" si="170"/>
        <v>0</v>
      </c>
      <c r="DK22" s="135">
        <f t="shared" si="54"/>
        <v>1</v>
      </c>
      <c r="DL22" s="135">
        <f t="shared" si="54"/>
        <v>1</v>
      </c>
      <c r="DM22" s="134">
        <f>'бюджет округа (района)'!BH22+'бюджеты поселений'!BH22</f>
        <v>0</v>
      </c>
      <c r="DN22" s="134">
        <f>'бюджет округа (района)'!BH22</f>
        <v>0</v>
      </c>
      <c r="DO22" s="134">
        <f>'бюджет округа (района)'!BI22+'бюджеты поселений'!BI22</f>
        <v>0</v>
      </c>
      <c r="DP22" s="134">
        <f>'бюджет округа (района)'!BI22</f>
        <v>0</v>
      </c>
      <c r="DQ22" s="134">
        <f>'бюджет округа (района)'!BJ22+'бюджеты поселений'!BJ22</f>
        <v>0</v>
      </c>
      <c r="DR22" s="134">
        <f>'бюджет округа (района)'!BJ22</f>
        <v>0</v>
      </c>
      <c r="DS22" s="135">
        <f>IF($AY$22=0,1,DQ22/$AY$22-1)</f>
        <v>1</v>
      </c>
      <c r="DT22" s="135">
        <f>IF($AZ$22=0,1,DR22/$AZ$22-1)</f>
        <v>1</v>
      </c>
      <c r="DU22" s="135">
        <f t="shared" si="58"/>
        <v>1</v>
      </c>
      <c r="DV22" s="135">
        <f t="shared" si="59"/>
        <v>1</v>
      </c>
      <c r="DW22" s="167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250" t="s">
        <v>89</v>
      </c>
      <c r="B23" s="251"/>
      <c r="C23" s="134">
        <f>'бюджет округа (района)'!C23+'бюджеты поселений'!C23</f>
        <v>0</v>
      </c>
      <c r="D23" s="134">
        <f>'бюджет округа (района)'!C23</f>
        <v>0</v>
      </c>
      <c r="E23" s="134">
        <f t="shared" si="150"/>
        <v>0</v>
      </c>
      <c r="F23" s="134">
        <f t="shared" si="150"/>
        <v>0</v>
      </c>
      <c r="G23" s="134">
        <f>'бюджет округа (района)'!E23+'бюджеты поселений'!E23</f>
        <v>0</v>
      </c>
      <c r="H23" s="134">
        <f>'бюджет округа (района)'!E23</f>
        <v>0</v>
      </c>
      <c r="I23" s="134">
        <f>'бюджет округа (района)'!F23+'бюджеты поселений'!F23</f>
        <v>0</v>
      </c>
      <c r="J23" s="134">
        <f>'бюджет округа (района)'!F23</f>
        <v>0</v>
      </c>
      <c r="K23" s="134">
        <f t="shared" si="151"/>
        <v>0</v>
      </c>
      <c r="L23" s="134">
        <f t="shared" si="151"/>
        <v>0</v>
      </c>
      <c r="M23" s="134">
        <f>'бюджет округа (района)'!H23+'бюджеты поселений'!H23</f>
        <v>0</v>
      </c>
      <c r="N23" s="134">
        <f>'бюджет округа (района)'!H23</f>
        <v>0</v>
      </c>
      <c r="O23" s="134">
        <f t="shared" si="152"/>
        <v>0</v>
      </c>
      <c r="P23" s="134">
        <f t="shared" si="152"/>
        <v>0</v>
      </c>
      <c r="Q23" s="134">
        <f>'бюджет округа (района)'!J23+'бюджеты поселений'!J23</f>
        <v>0</v>
      </c>
      <c r="R23" s="134">
        <f>'бюджет округа (района)'!J23</f>
        <v>0</v>
      </c>
      <c r="S23" s="134">
        <f t="shared" si="153"/>
        <v>0</v>
      </c>
      <c r="T23" s="134">
        <f t="shared" si="153"/>
        <v>0</v>
      </c>
      <c r="U23" s="134">
        <f>'бюджет округа (района)'!L23+'бюджеты поселений'!L23</f>
        <v>0</v>
      </c>
      <c r="V23" s="134">
        <f>'бюджет округа (района)'!L23</f>
        <v>0</v>
      </c>
      <c r="W23" s="134">
        <f t="shared" si="154"/>
        <v>0</v>
      </c>
      <c r="X23" s="134">
        <f t="shared" si="154"/>
        <v>0</v>
      </c>
      <c r="Y23" s="134">
        <f>'бюджет округа (района)'!N23+'бюджеты поселений'!N23</f>
        <v>0</v>
      </c>
      <c r="Z23" s="134">
        <f>'бюджет округа (района)'!N23</f>
        <v>0</v>
      </c>
      <c r="AA23" s="134">
        <f t="shared" si="155"/>
        <v>0</v>
      </c>
      <c r="AB23" s="134">
        <f t="shared" si="155"/>
        <v>0</v>
      </c>
      <c r="AC23" s="134">
        <f>'бюджет округа (района)'!P23+'бюджеты поселений'!P23</f>
        <v>0</v>
      </c>
      <c r="AD23" s="134">
        <f>'бюджет округа (района)'!P23</f>
        <v>0</v>
      </c>
      <c r="AE23" s="134">
        <f t="shared" si="156"/>
        <v>0</v>
      </c>
      <c r="AF23" s="134">
        <f t="shared" si="156"/>
        <v>0</v>
      </c>
      <c r="AG23" s="134">
        <f>'бюджет округа (района)'!R23+'бюджеты поселений'!R23</f>
        <v>0</v>
      </c>
      <c r="AH23" s="134">
        <f>'бюджет округа (района)'!R23</f>
        <v>0</v>
      </c>
      <c r="AI23" s="134">
        <f t="shared" si="157"/>
        <v>0</v>
      </c>
      <c r="AJ23" s="134">
        <f t="shared" si="157"/>
        <v>0</v>
      </c>
      <c r="AK23" s="134">
        <f>'бюджет округа (района)'!T23+'бюджеты поселений'!T23</f>
        <v>0</v>
      </c>
      <c r="AL23" s="134">
        <f>'бюджет округа (района)'!T23</f>
        <v>0</v>
      </c>
      <c r="AM23" s="134">
        <f t="shared" si="158"/>
        <v>0</v>
      </c>
      <c r="AN23" s="134">
        <f t="shared" si="158"/>
        <v>0</v>
      </c>
      <c r="AO23" s="134">
        <f>'бюджет округа (района)'!V23+'бюджеты поселений'!V23</f>
        <v>0</v>
      </c>
      <c r="AP23" s="134">
        <f>'бюджет округа (района)'!V23</f>
        <v>0</v>
      </c>
      <c r="AQ23" s="134">
        <f t="shared" si="159"/>
        <v>0</v>
      </c>
      <c r="AR23" s="134">
        <f t="shared" si="159"/>
        <v>0</v>
      </c>
      <c r="AS23" s="134">
        <f>'бюджет округа (района)'!X23+'бюджеты поселений'!X23</f>
        <v>0</v>
      </c>
      <c r="AT23" s="134">
        <f>'бюджет округа (района)'!X23</f>
        <v>0</v>
      </c>
      <c r="AU23" s="134">
        <f t="shared" si="160"/>
        <v>0</v>
      </c>
      <c r="AV23" s="134">
        <f t="shared" si="160"/>
        <v>0</v>
      </c>
      <c r="AW23" s="134">
        <f>'бюджет округа (района)'!Z23+'бюджеты поселений'!Z23</f>
        <v>0</v>
      </c>
      <c r="AX23" s="134">
        <f>'бюджет округа (района)'!Z23</f>
        <v>0</v>
      </c>
      <c r="AY23" s="134">
        <f>'бюджет округа (района)'!AA23+'бюджеты поселений'!AA23</f>
        <v>0</v>
      </c>
      <c r="AZ23" s="134">
        <f>'бюджет округа (района)'!AA23</f>
        <v>0</v>
      </c>
      <c r="BA23" s="135">
        <f t="shared" si="149"/>
        <v>1</v>
      </c>
      <c r="BB23" s="135">
        <f t="shared" si="149"/>
        <v>1</v>
      </c>
      <c r="BC23" s="134">
        <f>'бюджет округа (района)'!AC23+'бюджеты поселений'!AC23</f>
        <v>0</v>
      </c>
      <c r="BD23" s="134">
        <f>'бюджет округа (района)'!AC23</f>
        <v>0</v>
      </c>
      <c r="BE23" s="134">
        <f>'бюджет округа (района)'!AD23+'бюджеты поселений'!AD23</f>
        <v>0</v>
      </c>
      <c r="BF23" s="134">
        <f>'бюджет округа (района)'!AD23</f>
        <v>0</v>
      </c>
      <c r="BG23" s="134">
        <f t="shared" si="161"/>
        <v>0</v>
      </c>
      <c r="BH23" s="134">
        <f t="shared" si="161"/>
        <v>0</v>
      </c>
      <c r="BI23" s="135">
        <f t="shared" si="36"/>
        <v>1</v>
      </c>
      <c r="BJ23" s="135">
        <f t="shared" si="36"/>
        <v>1</v>
      </c>
      <c r="BK23" s="134">
        <f>'бюджет округа (района)'!AG23+'бюджеты поселений'!AG23</f>
        <v>0</v>
      </c>
      <c r="BL23" s="134">
        <f>'бюджет округа (района)'!AG23</f>
        <v>0</v>
      </c>
      <c r="BM23" s="134">
        <f t="shared" si="162"/>
        <v>0</v>
      </c>
      <c r="BN23" s="134">
        <f t="shared" si="162"/>
        <v>0</v>
      </c>
      <c r="BO23" s="135">
        <f t="shared" si="38"/>
        <v>1</v>
      </c>
      <c r="BP23" s="135">
        <f t="shared" si="38"/>
        <v>1</v>
      </c>
      <c r="BQ23" s="134">
        <f>'бюджет округа (района)'!AJ23+'бюджеты поселений'!AJ23</f>
        <v>0</v>
      </c>
      <c r="BR23" s="134">
        <f>'бюджет округа (района)'!AJ23</f>
        <v>0</v>
      </c>
      <c r="BS23" s="134">
        <f t="shared" si="163"/>
        <v>0</v>
      </c>
      <c r="BT23" s="134">
        <f t="shared" si="163"/>
        <v>0</v>
      </c>
      <c r="BU23" s="135">
        <f t="shared" si="40"/>
        <v>1</v>
      </c>
      <c r="BV23" s="135">
        <f t="shared" si="40"/>
        <v>1</v>
      </c>
      <c r="BW23" s="134">
        <f>'бюджет округа (района)'!AM23+'бюджеты поселений'!AM23</f>
        <v>0</v>
      </c>
      <c r="BX23" s="134">
        <f>'бюджет округа (района)'!AM23</f>
        <v>0</v>
      </c>
      <c r="BY23" s="134">
        <f t="shared" si="164"/>
        <v>0</v>
      </c>
      <c r="BZ23" s="134">
        <f t="shared" si="164"/>
        <v>0</v>
      </c>
      <c r="CA23" s="135">
        <f t="shared" si="42"/>
        <v>1</v>
      </c>
      <c r="CB23" s="135">
        <f t="shared" si="42"/>
        <v>1</v>
      </c>
      <c r="CC23" s="134">
        <f>'бюджет округа (района)'!AP23+'бюджеты поселений'!AP23</f>
        <v>0</v>
      </c>
      <c r="CD23" s="134">
        <f>'бюджет округа (района)'!AP23</f>
        <v>0</v>
      </c>
      <c r="CE23" s="134">
        <f t="shared" si="165"/>
        <v>0</v>
      </c>
      <c r="CF23" s="134">
        <f t="shared" si="165"/>
        <v>0</v>
      </c>
      <c r="CG23" s="135">
        <f t="shared" si="44"/>
        <v>1</v>
      </c>
      <c r="CH23" s="135">
        <f t="shared" si="44"/>
        <v>1</v>
      </c>
      <c r="CI23" s="134">
        <f>'бюджет округа (района)'!AS23+'бюджеты поселений'!AS23</f>
        <v>0</v>
      </c>
      <c r="CJ23" s="134">
        <f>'бюджет округа (района)'!AS23</f>
        <v>0</v>
      </c>
      <c r="CK23" s="134">
        <f t="shared" si="166"/>
        <v>0</v>
      </c>
      <c r="CL23" s="134">
        <f t="shared" si="166"/>
        <v>0</v>
      </c>
      <c r="CM23" s="135">
        <f t="shared" si="46"/>
        <v>1</v>
      </c>
      <c r="CN23" s="135">
        <f t="shared" si="46"/>
        <v>1</v>
      </c>
      <c r="CO23" s="134">
        <f>'бюджет округа (района)'!AV23+'бюджеты поселений'!AV23</f>
        <v>0</v>
      </c>
      <c r="CP23" s="134">
        <f>'бюджет округа (района)'!AV23</f>
        <v>0</v>
      </c>
      <c r="CQ23" s="134">
        <f t="shared" si="167"/>
        <v>0</v>
      </c>
      <c r="CR23" s="134">
        <f t="shared" si="167"/>
        <v>0</v>
      </c>
      <c r="CS23" s="135">
        <f t="shared" si="48"/>
        <v>1</v>
      </c>
      <c r="CT23" s="135">
        <f t="shared" si="48"/>
        <v>1</v>
      </c>
      <c r="CU23" s="134">
        <f>'бюджет округа (района)'!AY23+'бюджеты поселений'!AY23</f>
        <v>0</v>
      </c>
      <c r="CV23" s="134">
        <f>'бюджет округа (района)'!AY23</f>
        <v>0</v>
      </c>
      <c r="CW23" s="134">
        <f t="shared" si="168"/>
        <v>0</v>
      </c>
      <c r="CX23" s="134">
        <f t="shared" si="168"/>
        <v>0</v>
      </c>
      <c r="CY23" s="135">
        <f t="shared" si="50"/>
        <v>1</v>
      </c>
      <c r="CZ23" s="135">
        <f t="shared" si="50"/>
        <v>1</v>
      </c>
      <c r="DA23" s="134">
        <f>'бюджет округа (района)'!BB23+'бюджеты поселений'!BB23</f>
        <v>0</v>
      </c>
      <c r="DB23" s="134">
        <f>'бюджет округа (района)'!BB23</f>
        <v>0</v>
      </c>
      <c r="DC23" s="134">
        <f t="shared" si="169"/>
        <v>0</v>
      </c>
      <c r="DD23" s="134">
        <f t="shared" si="169"/>
        <v>0</v>
      </c>
      <c r="DE23" s="135">
        <f t="shared" si="52"/>
        <v>1</v>
      </c>
      <c r="DF23" s="135">
        <f t="shared" si="52"/>
        <v>1</v>
      </c>
      <c r="DG23" s="134">
        <f>'бюджет округа (района)'!BE23+'бюджеты поселений'!BE23</f>
        <v>0</v>
      </c>
      <c r="DH23" s="134">
        <f>'бюджет округа (района)'!BE23</f>
        <v>0</v>
      </c>
      <c r="DI23" s="134">
        <f t="shared" si="170"/>
        <v>0</v>
      </c>
      <c r="DJ23" s="134">
        <f t="shared" si="170"/>
        <v>0</v>
      </c>
      <c r="DK23" s="135">
        <f t="shared" si="54"/>
        <v>1</v>
      </c>
      <c r="DL23" s="135">
        <f t="shared" si="54"/>
        <v>1</v>
      </c>
      <c r="DM23" s="134">
        <f>'бюджет округа (района)'!BH23+'бюджеты поселений'!BH23</f>
        <v>0</v>
      </c>
      <c r="DN23" s="134">
        <f>'бюджет округа (района)'!BH23</f>
        <v>0</v>
      </c>
      <c r="DO23" s="134">
        <f>'бюджет округа (района)'!BI23+'бюджеты поселений'!BI23</f>
        <v>0</v>
      </c>
      <c r="DP23" s="134">
        <f>'бюджет округа (района)'!BI23</f>
        <v>0</v>
      </c>
      <c r="DQ23" s="134">
        <f>'бюджет округа (района)'!BJ23+'бюджеты поселений'!BJ23</f>
        <v>0</v>
      </c>
      <c r="DR23" s="134">
        <f>'бюджет округа (района)'!BJ23</f>
        <v>0</v>
      </c>
      <c r="DS23" s="135">
        <f>IF($AY$23=0,1,DQ23/$AY$23-1)</f>
        <v>1</v>
      </c>
      <c r="DT23" s="135">
        <f>IF($AZ$23=0,1,DR23/$AZ$23-1)</f>
        <v>1</v>
      </c>
      <c r="DU23" s="135">
        <f t="shared" si="58"/>
        <v>1</v>
      </c>
      <c r="DV23" s="135">
        <f t="shared" si="59"/>
        <v>1</v>
      </c>
      <c r="DW23" s="167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250" t="s">
        <v>90</v>
      </c>
      <c r="B24" s="251"/>
      <c r="C24" s="134">
        <f>'бюджет округа (района)'!C24+'бюджеты поселений'!C24</f>
        <v>0</v>
      </c>
      <c r="D24" s="134">
        <f>'бюджет округа (района)'!C24</f>
        <v>0</v>
      </c>
      <c r="E24" s="134">
        <f t="shared" si="150"/>
        <v>0</v>
      </c>
      <c r="F24" s="134">
        <f t="shared" si="150"/>
        <v>0</v>
      </c>
      <c r="G24" s="134">
        <f>'бюджет округа (района)'!E24+'бюджеты поселений'!E24</f>
        <v>0</v>
      </c>
      <c r="H24" s="134">
        <f>'бюджет округа (района)'!E24</f>
        <v>0</v>
      </c>
      <c r="I24" s="134">
        <f>'бюджет округа (района)'!F24+'бюджеты поселений'!F24</f>
        <v>0</v>
      </c>
      <c r="J24" s="134">
        <f>'бюджет округа (района)'!F24</f>
        <v>0</v>
      </c>
      <c r="K24" s="134">
        <f t="shared" si="151"/>
        <v>0</v>
      </c>
      <c r="L24" s="134">
        <f t="shared" si="151"/>
        <v>0</v>
      </c>
      <c r="M24" s="134">
        <f>'бюджет округа (района)'!H24+'бюджеты поселений'!H24</f>
        <v>0</v>
      </c>
      <c r="N24" s="134">
        <f>'бюджет округа (района)'!H24</f>
        <v>0</v>
      </c>
      <c r="O24" s="134">
        <f t="shared" si="152"/>
        <v>0</v>
      </c>
      <c r="P24" s="134">
        <f t="shared" si="152"/>
        <v>0</v>
      </c>
      <c r="Q24" s="134">
        <f>'бюджет округа (района)'!J24+'бюджеты поселений'!J24</f>
        <v>0</v>
      </c>
      <c r="R24" s="134">
        <f>'бюджет округа (района)'!J24</f>
        <v>0</v>
      </c>
      <c r="S24" s="134">
        <f t="shared" si="153"/>
        <v>0</v>
      </c>
      <c r="T24" s="134">
        <f t="shared" si="153"/>
        <v>0</v>
      </c>
      <c r="U24" s="134">
        <f>'бюджет округа (района)'!L24+'бюджеты поселений'!L24</f>
        <v>0</v>
      </c>
      <c r="V24" s="134">
        <f>'бюджет округа (района)'!L24</f>
        <v>0</v>
      </c>
      <c r="W24" s="134">
        <f t="shared" si="154"/>
        <v>0</v>
      </c>
      <c r="X24" s="134">
        <f t="shared" si="154"/>
        <v>0</v>
      </c>
      <c r="Y24" s="134">
        <f>'бюджет округа (района)'!N24+'бюджеты поселений'!N24</f>
        <v>0</v>
      </c>
      <c r="Z24" s="134">
        <f>'бюджет округа (района)'!N24</f>
        <v>0</v>
      </c>
      <c r="AA24" s="134">
        <f t="shared" si="155"/>
        <v>0</v>
      </c>
      <c r="AB24" s="134">
        <f t="shared" si="155"/>
        <v>0</v>
      </c>
      <c r="AC24" s="134">
        <f>'бюджет округа (района)'!P24+'бюджеты поселений'!P24</f>
        <v>0</v>
      </c>
      <c r="AD24" s="134">
        <f>'бюджет округа (района)'!P24</f>
        <v>0</v>
      </c>
      <c r="AE24" s="134">
        <f t="shared" si="156"/>
        <v>0</v>
      </c>
      <c r="AF24" s="134">
        <f t="shared" si="156"/>
        <v>0</v>
      </c>
      <c r="AG24" s="134">
        <f>'бюджет округа (района)'!R24+'бюджеты поселений'!R24</f>
        <v>0</v>
      </c>
      <c r="AH24" s="134">
        <f>'бюджет округа (района)'!R24</f>
        <v>0</v>
      </c>
      <c r="AI24" s="134">
        <f t="shared" si="157"/>
        <v>0</v>
      </c>
      <c r="AJ24" s="134">
        <f t="shared" si="157"/>
        <v>0</v>
      </c>
      <c r="AK24" s="134">
        <f>'бюджет округа (района)'!T24+'бюджеты поселений'!T24</f>
        <v>0</v>
      </c>
      <c r="AL24" s="134">
        <f>'бюджет округа (района)'!T24</f>
        <v>0</v>
      </c>
      <c r="AM24" s="134">
        <f t="shared" si="158"/>
        <v>0</v>
      </c>
      <c r="AN24" s="134">
        <f t="shared" si="158"/>
        <v>0</v>
      </c>
      <c r="AO24" s="134">
        <f>'бюджет округа (района)'!V24+'бюджеты поселений'!V24</f>
        <v>0</v>
      </c>
      <c r="AP24" s="134">
        <f>'бюджет округа (района)'!V24</f>
        <v>0</v>
      </c>
      <c r="AQ24" s="134">
        <f t="shared" si="159"/>
        <v>0</v>
      </c>
      <c r="AR24" s="134">
        <f t="shared" si="159"/>
        <v>0</v>
      </c>
      <c r="AS24" s="134">
        <f>'бюджет округа (района)'!X24+'бюджеты поселений'!X24</f>
        <v>0</v>
      </c>
      <c r="AT24" s="134">
        <f>'бюджет округа (района)'!X24</f>
        <v>0</v>
      </c>
      <c r="AU24" s="134">
        <f t="shared" si="160"/>
        <v>0</v>
      </c>
      <c r="AV24" s="134">
        <f t="shared" si="160"/>
        <v>0</v>
      </c>
      <c r="AW24" s="134">
        <f>'бюджет округа (района)'!Z24+'бюджеты поселений'!Z24</f>
        <v>0</v>
      </c>
      <c r="AX24" s="134">
        <f>'бюджет округа (района)'!Z24</f>
        <v>0</v>
      </c>
      <c r="AY24" s="134">
        <f>'бюджет округа (района)'!AA24+'бюджеты поселений'!AA24</f>
        <v>0</v>
      </c>
      <c r="AZ24" s="134">
        <f>'бюджет округа (района)'!AA24</f>
        <v>0</v>
      </c>
      <c r="BA24" s="135">
        <f t="shared" si="149"/>
        <v>1</v>
      </c>
      <c r="BB24" s="135">
        <f t="shared" si="149"/>
        <v>1</v>
      </c>
      <c r="BC24" s="134">
        <f>'бюджет округа (района)'!AC24+'бюджеты поселений'!AC24</f>
        <v>0</v>
      </c>
      <c r="BD24" s="134">
        <f>'бюджет округа (района)'!AC24</f>
        <v>0</v>
      </c>
      <c r="BE24" s="134">
        <f>'бюджет округа (района)'!AD24+'бюджеты поселений'!AD24</f>
        <v>0</v>
      </c>
      <c r="BF24" s="134">
        <f>'бюджет округа (района)'!AD24</f>
        <v>0</v>
      </c>
      <c r="BG24" s="134">
        <f t="shared" si="161"/>
        <v>0</v>
      </c>
      <c r="BH24" s="134">
        <f t="shared" si="161"/>
        <v>0</v>
      </c>
      <c r="BI24" s="135">
        <f t="shared" si="36"/>
        <v>1</v>
      </c>
      <c r="BJ24" s="135">
        <f t="shared" si="36"/>
        <v>1</v>
      </c>
      <c r="BK24" s="134">
        <f>'бюджет округа (района)'!AG24+'бюджеты поселений'!AG24</f>
        <v>0</v>
      </c>
      <c r="BL24" s="134">
        <f>'бюджет округа (района)'!AG24</f>
        <v>0</v>
      </c>
      <c r="BM24" s="134">
        <f t="shared" si="162"/>
        <v>0</v>
      </c>
      <c r="BN24" s="134">
        <f t="shared" si="162"/>
        <v>0</v>
      </c>
      <c r="BO24" s="135">
        <f t="shared" si="38"/>
        <v>1</v>
      </c>
      <c r="BP24" s="135">
        <f t="shared" si="38"/>
        <v>1</v>
      </c>
      <c r="BQ24" s="134">
        <f>'бюджет округа (района)'!AJ24+'бюджеты поселений'!AJ24</f>
        <v>0</v>
      </c>
      <c r="BR24" s="134">
        <f>'бюджет округа (района)'!AJ24</f>
        <v>0</v>
      </c>
      <c r="BS24" s="134">
        <f t="shared" si="163"/>
        <v>0</v>
      </c>
      <c r="BT24" s="134">
        <f t="shared" si="163"/>
        <v>0</v>
      </c>
      <c r="BU24" s="135">
        <f t="shared" si="40"/>
        <v>1</v>
      </c>
      <c r="BV24" s="135">
        <f t="shared" si="40"/>
        <v>1</v>
      </c>
      <c r="BW24" s="134">
        <f>'бюджет округа (района)'!AM24+'бюджеты поселений'!AM24</f>
        <v>0</v>
      </c>
      <c r="BX24" s="134">
        <f>'бюджет округа (района)'!AM24</f>
        <v>0</v>
      </c>
      <c r="BY24" s="134">
        <f t="shared" si="164"/>
        <v>0</v>
      </c>
      <c r="BZ24" s="134">
        <f t="shared" si="164"/>
        <v>0</v>
      </c>
      <c r="CA24" s="135">
        <f t="shared" si="42"/>
        <v>1</v>
      </c>
      <c r="CB24" s="135">
        <f t="shared" si="42"/>
        <v>1</v>
      </c>
      <c r="CC24" s="134">
        <f>'бюджет округа (района)'!AP24+'бюджеты поселений'!AP24</f>
        <v>0</v>
      </c>
      <c r="CD24" s="134">
        <f>'бюджет округа (района)'!AP24</f>
        <v>0</v>
      </c>
      <c r="CE24" s="134">
        <f t="shared" si="165"/>
        <v>0</v>
      </c>
      <c r="CF24" s="134">
        <f t="shared" si="165"/>
        <v>0</v>
      </c>
      <c r="CG24" s="135">
        <f t="shared" si="44"/>
        <v>1</v>
      </c>
      <c r="CH24" s="135">
        <f t="shared" si="44"/>
        <v>1</v>
      </c>
      <c r="CI24" s="134">
        <f>'бюджет округа (района)'!AS24+'бюджеты поселений'!AS24</f>
        <v>0</v>
      </c>
      <c r="CJ24" s="134">
        <f>'бюджет округа (района)'!AS24</f>
        <v>0</v>
      </c>
      <c r="CK24" s="134">
        <f t="shared" si="166"/>
        <v>0</v>
      </c>
      <c r="CL24" s="134">
        <f t="shared" si="166"/>
        <v>0</v>
      </c>
      <c r="CM24" s="135">
        <f t="shared" si="46"/>
        <v>1</v>
      </c>
      <c r="CN24" s="135">
        <f t="shared" si="46"/>
        <v>1</v>
      </c>
      <c r="CO24" s="134">
        <f>'бюджет округа (района)'!AV24+'бюджеты поселений'!AV24</f>
        <v>0</v>
      </c>
      <c r="CP24" s="134">
        <f>'бюджет округа (района)'!AV24</f>
        <v>0</v>
      </c>
      <c r="CQ24" s="134">
        <f t="shared" si="167"/>
        <v>0</v>
      </c>
      <c r="CR24" s="134">
        <f t="shared" si="167"/>
        <v>0</v>
      </c>
      <c r="CS24" s="135">
        <f t="shared" si="48"/>
        <v>1</v>
      </c>
      <c r="CT24" s="135">
        <f t="shared" si="48"/>
        <v>1</v>
      </c>
      <c r="CU24" s="134">
        <f>'бюджет округа (района)'!AY24+'бюджеты поселений'!AY24</f>
        <v>0</v>
      </c>
      <c r="CV24" s="134">
        <f>'бюджет округа (района)'!AY24</f>
        <v>0</v>
      </c>
      <c r="CW24" s="134">
        <f t="shared" si="168"/>
        <v>0</v>
      </c>
      <c r="CX24" s="134">
        <f t="shared" si="168"/>
        <v>0</v>
      </c>
      <c r="CY24" s="135">
        <f t="shared" si="50"/>
        <v>1</v>
      </c>
      <c r="CZ24" s="135">
        <f t="shared" si="50"/>
        <v>1</v>
      </c>
      <c r="DA24" s="134">
        <f>'бюджет округа (района)'!BB24+'бюджеты поселений'!BB24</f>
        <v>0</v>
      </c>
      <c r="DB24" s="134">
        <f>'бюджет округа (района)'!BB24</f>
        <v>0</v>
      </c>
      <c r="DC24" s="134">
        <f t="shared" si="169"/>
        <v>0</v>
      </c>
      <c r="DD24" s="134">
        <f t="shared" si="169"/>
        <v>0</v>
      </c>
      <c r="DE24" s="135">
        <f t="shared" si="52"/>
        <v>1</v>
      </c>
      <c r="DF24" s="135">
        <f t="shared" si="52"/>
        <v>1</v>
      </c>
      <c r="DG24" s="134">
        <f>'бюджет округа (района)'!BE24+'бюджеты поселений'!BE24</f>
        <v>0</v>
      </c>
      <c r="DH24" s="134">
        <f>'бюджет округа (района)'!BE24</f>
        <v>0</v>
      </c>
      <c r="DI24" s="134">
        <f t="shared" si="170"/>
        <v>0</v>
      </c>
      <c r="DJ24" s="134">
        <f t="shared" si="170"/>
        <v>0</v>
      </c>
      <c r="DK24" s="135">
        <f t="shared" si="54"/>
        <v>1</v>
      </c>
      <c r="DL24" s="135">
        <f t="shared" si="54"/>
        <v>1</v>
      </c>
      <c r="DM24" s="134">
        <f>'бюджет округа (района)'!BH24+'бюджеты поселений'!BH24</f>
        <v>0</v>
      </c>
      <c r="DN24" s="134">
        <f>'бюджет округа (района)'!BH24</f>
        <v>0</v>
      </c>
      <c r="DO24" s="134">
        <f>'бюджет округа (района)'!BI24+'бюджеты поселений'!BI24</f>
        <v>0</v>
      </c>
      <c r="DP24" s="134">
        <f>'бюджет округа (района)'!BI24</f>
        <v>0</v>
      </c>
      <c r="DQ24" s="134">
        <f>'бюджет округа (района)'!BJ24+'бюджеты поселений'!BJ24</f>
        <v>0</v>
      </c>
      <c r="DR24" s="134">
        <f>'бюджет округа (района)'!BJ24</f>
        <v>0</v>
      </c>
      <c r="DS24" s="135">
        <f>IF($AY$24=0,1,DQ24/$AY$24-1)</f>
        <v>1</v>
      </c>
      <c r="DT24" s="135">
        <f>IF($AZ$24=0,1,DR24/$AZ$24-1)</f>
        <v>1</v>
      </c>
      <c r="DU24" s="135">
        <f t="shared" si="58"/>
        <v>1</v>
      </c>
      <c r="DV24" s="135">
        <f t="shared" si="59"/>
        <v>1</v>
      </c>
      <c r="DW24" s="167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250" t="s">
        <v>42</v>
      </c>
      <c r="B25" s="251"/>
      <c r="C25" s="134">
        <f>'бюджет округа (района)'!C25+'бюджеты поселений'!C25</f>
        <v>0</v>
      </c>
      <c r="D25" s="134">
        <f>'бюджет округа (района)'!C25</f>
        <v>0</v>
      </c>
      <c r="E25" s="134">
        <f t="shared" si="150"/>
        <v>0</v>
      </c>
      <c r="F25" s="134">
        <f>H25+J25+N25+R25+V25+Z25+AD25+AH25+AL25+AP25+AT25+AX25</f>
        <v>0</v>
      </c>
      <c r="G25" s="134">
        <f>'бюджет округа (района)'!E25+'бюджеты поселений'!E25</f>
        <v>0</v>
      </c>
      <c r="H25" s="134">
        <f>'бюджет округа (района)'!E25</f>
        <v>0</v>
      </c>
      <c r="I25" s="134">
        <f>'бюджет округа (района)'!F25+'бюджеты поселений'!F25</f>
        <v>0</v>
      </c>
      <c r="J25" s="134">
        <f>'бюджет округа (района)'!F25</f>
        <v>0</v>
      </c>
      <c r="K25" s="134">
        <f t="shared" si="151"/>
        <v>0</v>
      </c>
      <c r="L25" s="134">
        <f t="shared" si="151"/>
        <v>0</v>
      </c>
      <c r="M25" s="134">
        <f>'бюджет округа (района)'!H25+'бюджеты поселений'!H25</f>
        <v>0</v>
      </c>
      <c r="N25" s="134">
        <f>'бюджет округа (района)'!H25</f>
        <v>0</v>
      </c>
      <c r="O25" s="134">
        <f t="shared" si="152"/>
        <v>0</v>
      </c>
      <c r="P25" s="134">
        <f t="shared" si="152"/>
        <v>0</v>
      </c>
      <c r="Q25" s="134">
        <f>'бюджет округа (района)'!J25+'бюджеты поселений'!J25</f>
        <v>0</v>
      </c>
      <c r="R25" s="134">
        <f>'бюджет округа (района)'!J25</f>
        <v>0</v>
      </c>
      <c r="S25" s="134">
        <f t="shared" si="153"/>
        <v>0</v>
      </c>
      <c r="T25" s="134">
        <f t="shared" si="153"/>
        <v>0</v>
      </c>
      <c r="U25" s="134">
        <f>'бюджет округа (района)'!L25+'бюджеты поселений'!L25</f>
        <v>0</v>
      </c>
      <c r="V25" s="134">
        <f>'бюджет округа (района)'!L25</f>
        <v>0</v>
      </c>
      <c r="W25" s="134">
        <f t="shared" si="154"/>
        <v>0</v>
      </c>
      <c r="X25" s="134">
        <f t="shared" si="154"/>
        <v>0</v>
      </c>
      <c r="Y25" s="134">
        <f>'бюджет округа (района)'!N25+'бюджеты поселений'!N25</f>
        <v>0</v>
      </c>
      <c r="Z25" s="134">
        <f>'бюджет округа (района)'!N25</f>
        <v>0</v>
      </c>
      <c r="AA25" s="134">
        <f t="shared" si="155"/>
        <v>0</v>
      </c>
      <c r="AB25" s="134">
        <f t="shared" si="155"/>
        <v>0</v>
      </c>
      <c r="AC25" s="134">
        <f>'бюджет округа (района)'!P25+'бюджеты поселений'!P25</f>
        <v>0</v>
      </c>
      <c r="AD25" s="134">
        <f>'бюджет округа (района)'!P25</f>
        <v>0</v>
      </c>
      <c r="AE25" s="134">
        <f t="shared" si="156"/>
        <v>0</v>
      </c>
      <c r="AF25" s="134">
        <f t="shared" si="156"/>
        <v>0</v>
      </c>
      <c r="AG25" s="134">
        <f>'бюджет округа (района)'!R25+'бюджеты поселений'!R25</f>
        <v>0</v>
      </c>
      <c r="AH25" s="134">
        <f>'бюджет округа (района)'!R25</f>
        <v>0</v>
      </c>
      <c r="AI25" s="134">
        <f t="shared" si="157"/>
        <v>0</v>
      </c>
      <c r="AJ25" s="134">
        <f t="shared" si="157"/>
        <v>0</v>
      </c>
      <c r="AK25" s="134">
        <f>'бюджет округа (района)'!T25+'бюджеты поселений'!T25</f>
        <v>0</v>
      </c>
      <c r="AL25" s="134">
        <f>'бюджет округа (района)'!T25</f>
        <v>0</v>
      </c>
      <c r="AM25" s="134">
        <f t="shared" si="158"/>
        <v>0</v>
      </c>
      <c r="AN25" s="134">
        <f t="shared" si="158"/>
        <v>0</v>
      </c>
      <c r="AO25" s="134">
        <f>'бюджет округа (района)'!V25+'бюджеты поселений'!V25</f>
        <v>0</v>
      </c>
      <c r="AP25" s="134">
        <f>'бюджет округа (района)'!V25</f>
        <v>0</v>
      </c>
      <c r="AQ25" s="134">
        <f t="shared" si="159"/>
        <v>0</v>
      </c>
      <c r="AR25" s="134">
        <f t="shared" si="159"/>
        <v>0</v>
      </c>
      <c r="AS25" s="134">
        <f>'бюджет округа (района)'!X25+'бюджеты поселений'!X25</f>
        <v>0</v>
      </c>
      <c r="AT25" s="134">
        <f>'бюджет округа (района)'!X25</f>
        <v>0</v>
      </c>
      <c r="AU25" s="134">
        <f t="shared" si="160"/>
        <v>0</v>
      </c>
      <c r="AV25" s="134">
        <f t="shared" si="160"/>
        <v>0</v>
      </c>
      <c r="AW25" s="134">
        <f>'бюджет округа (района)'!Z25+'бюджеты поселений'!Z25</f>
        <v>0</v>
      </c>
      <c r="AX25" s="134">
        <f>'бюджет округа (района)'!Z25</f>
        <v>0</v>
      </c>
      <c r="AY25" s="134">
        <f>'бюджет округа (района)'!AA25+'бюджеты поселений'!AA25</f>
        <v>0</v>
      </c>
      <c r="AZ25" s="134">
        <f>'бюджет округа (района)'!AA25</f>
        <v>0</v>
      </c>
      <c r="BA25" s="135">
        <f t="shared" si="149"/>
        <v>1</v>
      </c>
      <c r="BB25" s="135">
        <f t="shared" si="149"/>
        <v>1</v>
      </c>
      <c r="BC25" s="134">
        <f>'бюджет округа (района)'!AC25+'бюджеты поселений'!AC25</f>
        <v>0</v>
      </c>
      <c r="BD25" s="134">
        <f>'бюджет округа (района)'!AC25</f>
        <v>0</v>
      </c>
      <c r="BE25" s="134">
        <f>'бюджет округа (района)'!AD25+'бюджеты поселений'!AD25</f>
        <v>0</v>
      </c>
      <c r="BF25" s="134">
        <f>'бюджет округа (района)'!AD25</f>
        <v>0</v>
      </c>
      <c r="BG25" s="134">
        <f t="shared" si="161"/>
        <v>0</v>
      </c>
      <c r="BH25" s="134">
        <f t="shared" si="161"/>
        <v>0</v>
      </c>
      <c r="BI25" s="135">
        <f t="shared" si="36"/>
        <v>1</v>
      </c>
      <c r="BJ25" s="135">
        <f t="shared" si="36"/>
        <v>1</v>
      </c>
      <c r="BK25" s="134">
        <f>'бюджет округа (района)'!AG25+'бюджеты поселений'!AG25</f>
        <v>0</v>
      </c>
      <c r="BL25" s="134">
        <f>'бюджет округа (района)'!AG25</f>
        <v>0</v>
      </c>
      <c r="BM25" s="134">
        <f t="shared" si="162"/>
        <v>0</v>
      </c>
      <c r="BN25" s="134">
        <f t="shared" si="162"/>
        <v>0</v>
      </c>
      <c r="BO25" s="135">
        <f t="shared" si="38"/>
        <v>1</v>
      </c>
      <c r="BP25" s="135">
        <f t="shared" si="38"/>
        <v>1</v>
      </c>
      <c r="BQ25" s="134">
        <f>'бюджет округа (района)'!AJ25+'бюджеты поселений'!AJ25</f>
        <v>0</v>
      </c>
      <c r="BR25" s="134">
        <f>'бюджет округа (района)'!AJ25</f>
        <v>0</v>
      </c>
      <c r="BS25" s="134">
        <f t="shared" si="163"/>
        <v>0</v>
      </c>
      <c r="BT25" s="134">
        <f t="shared" si="163"/>
        <v>0</v>
      </c>
      <c r="BU25" s="135">
        <f t="shared" si="40"/>
        <v>1</v>
      </c>
      <c r="BV25" s="135">
        <f t="shared" si="40"/>
        <v>1</v>
      </c>
      <c r="BW25" s="134">
        <f>'бюджет округа (района)'!AM25+'бюджеты поселений'!AM25</f>
        <v>0</v>
      </c>
      <c r="BX25" s="134">
        <f>'бюджет округа (района)'!AM25</f>
        <v>0</v>
      </c>
      <c r="BY25" s="134">
        <f t="shared" si="164"/>
        <v>0</v>
      </c>
      <c r="BZ25" s="134">
        <f t="shared" si="164"/>
        <v>0</v>
      </c>
      <c r="CA25" s="135">
        <f t="shared" si="42"/>
        <v>1</v>
      </c>
      <c r="CB25" s="135">
        <f t="shared" si="42"/>
        <v>1</v>
      </c>
      <c r="CC25" s="134">
        <f>'бюджет округа (района)'!AP25+'бюджеты поселений'!AP25</f>
        <v>0</v>
      </c>
      <c r="CD25" s="134">
        <f>'бюджет округа (района)'!AP25</f>
        <v>0</v>
      </c>
      <c r="CE25" s="134">
        <f t="shared" si="165"/>
        <v>0</v>
      </c>
      <c r="CF25" s="134">
        <f t="shared" si="165"/>
        <v>0</v>
      </c>
      <c r="CG25" s="135">
        <f t="shared" si="44"/>
        <v>1</v>
      </c>
      <c r="CH25" s="135">
        <f t="shared" si="44"/>
        <v>1</v>
      </c>
      <c r="CI25" s="134">
        <f>'бюджет округа (района)'!AS25+'бюджеты поселений'!AS25</f>
        <v>0</v>
      </c>
      <c r="CJ25" s="134">
        <f>'бюджет округа (района)'!AS25</f>
        <v>0</v>
      </c>
      <c r="CK25" s="134">
        <f t="shared" si="166"/>
        <v>0</v>
      </c>
      <c r="CL25" s="134">
        <f t="shared" si="166"/>
        <v>0</v>
      </c>
      <c r="CM25" s="135">
        <f t="shared" si="46"/>
        <v>1</v>
      </c>
      <c r="CN25" s="135">
        <f t="shared" si="46"/>
        <v>1</v>
      </c>
      <c r="CO25" s="134">
        <f>'бюджет округа (района)'!AV25+'бюджеты поселений'!AV25</f>
        <v>0</v>
      </c>
      <c r="CP25" s="134">
        <f>'бюджет округа (района)'!AV25</f>
        <v>0</v>
      </c>
      <c r="CQ25" s="134">
        <f t="shared" si="167"/>
        <v>0</v>
      </c>
      <c r="CR25" s="134">
        <f t="shared" si="167"/>
        <v>0</v>
      </c>
      <c r="CS25" s="135">
        <f t="shared" si="48"/>
        <v>1</v>
      </c>
      <c r="CT25" s="135">
        <f t="shared" si="48"/>
        <v>1</v>
      </c>
      <c r="CU25" s="134">
        <f>'бюджет округа (района)'!AY25+'бюджеты поселений'!AY25</f>
        <v>0</v>
      </c>
      <c r="CV25" s="134">
        <f>'бюджет округа (района)'!AY25</f>
        <v>0</v>
      </c>
      <c r="CW25" s="134">
        <f t="shared" si="168"/>
        <v>0</v>
      </c>
      <c r="CX25" s="134">
        <f t="shared" si="168"/>
        <v>0</v>
      </c>
      <c r="CY25" s="135">
        <f t="shared" si="50"/>
        <v>1</v>
      </c>
      <c r="CZ25" s="135">
        <f t="shared" si="50"/>
        <v>1</v>
      </c>
      <c r="DA25" s="134">
        <f>'бюджет округа (района)'!BB25+'бюджеты поселений'!BB25</f>
        <v>0</v>
      </c>
      <c r="DB25" s="134">
        <f>'бюджет округа (района)'!BB25</f>
        <v>0</v>
      </c>
      <c r="DC25" s="134">
        <f t="shared" si="169"/>
        <v>0</v>
      </c>
      <c r="DD25" s="134">
        <f t="shared" si="169"/>
        <v>0</v>
      </c>
      <c r="DE25" s="135">
        <f t="shared" si="52"/>
        <v>1</v>
      </c>
      <c r="DF25" s="135">
        <f t="shared" si="52"/>
        <v>1</v>
      </c>
      <c r="DG25" s="134">
        <f>'бюджет округа (района)'!BE25+'бюджеты поселений'!BE25</f>
        <v>0</v>
      </c>
      <c r="DH25" s="134">
        <f>'бюджет округа (района)'!BE25</f>
        <v>0</v>
      </c>
      <c r="DI25" s="134">
        <f t="shared" si="170"/>
        <v>0</v>
      </c>
      <c r="DJ25" s="134">
        <f t="shared" si="170"/>
        <v>0</v>
      </c>
      <c r="DK25" s="135">
        <f t="shared" si="54"/>
        <v>1</v>
      </c>
      <c r="DL25" s="135">
        <f t="shared" si="54"/>
        <v>1</v>
      </c>
      <c r="DM25" s="134">
        <f>'бюджет округа (района)'!BH25+'бюджеты поселений'!BH25</f>
        <v>0</v>
      </c>
      <c r="DN25" s="134">
        <f>'бюджет округа (района)'!BH25</f>
        <v>0</v>
      </c>
      <c r="DO25" s="134">
        <f>'бюджет округа (района)'!BI25+'бюджеты поселений'!BI25</f>
        <v>0</v>
      </c>
      <c r="DP25" s="134">
        <f>'бюджет округа (района)'!BI25</f>
        <v>0</v>
      </c>
      <c r="DQ25" s="134">
        <f>'бюджет округа (района)'!BJ25+'бюджеты поселений'!BJ25</f>
        <v>0</v>
      </c>
      <c r="DR25" s="134">
        <f>'бюджет округа (района)'!BJ25</f>
        <v>0</v>
      </c>
      <c r="DS25" s="135">
        <f>IF($AY$25=0,1,DQ25/$AY$25-1)</f>
        <v>1</v>
      </c>
      <c r="DT25" s="135">
        <f>IF($AZ$25=0,1,DR25/$AZ$25-1)</f>
        <v>1</v>
      </c>
      <c r="DU25" s="135">
        <f t="shared" si="58"/>
        <v>1</v>
      </c>
      <c r="DV25" s="135">
        <f t="shared" si="59"/>
        <v>1</v>
      </c>
      <c r="DW25" s="167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250" t="s">
        <v>43</v>
      </c>
      <c r="B26" s="251"/>
      <c r="C26" s="134">
        <f>'бюджет округа (района)'!C26+'бюджеты поселений'!C26</f>
        <v>0</v>
      </c>
      <c r="D26" s="134">
        <f>'бюджет округа (района)'!C26</f>
        <v>0</v>
      </c>
      <c r="E26" s="134">
        <f t="shared" si="150"/>
        <v>0</v>
      </c>
      <c r="F26" s="134">
        <f>H26+J26+N26+R26+V26+Z26+AD26+AH26+AL26+AP26+AT26+AX26</f>
        <v>0</v>
      </c>
      <c r="G26" s="134">
        <f>'бюджет округа (района)'!E26+'бюджеты поселений'!E26</f>
        <v>0</v>
      </c>
      <c r="H26" s="134">
        <f>'бюджет округа (района)'!E26</f>
        <v>0</v>
      </c>
      <c r="I26" s="134">
        <f>'бюджет округа (района)'!F26+'бюджеты поселений'!F26</f>
        <v>0</v>
      </c>
      <c r="J26" s="134">
        <f>'бюджет округа (района)'!F26</f>
        <v>0</v>
      </c>
      <c r="K26" s="134">
        <f t="shared" si="151"/>
        <v>0</v>
      </c>
      <c r="L26" s="134">
        <f t="shared" si="151"/>
        <v>0</v>
      </c>
      <c r="M26" s="134">
        <f>'бюджет округа (района)'!H26+'бюджеты поселений'!H26</f>
        <v>0</v>
      </c>
      <c r="N26" s="134">
        <f>'бюджет округа (района)'!H26</f>
        <v>0</v>
      </c>
      <c r="O26" s="134">
        <f t="shared" si="152"/>
        <v>0</v>
      </c>
      <c r="P26" s="134">
        <f t="shared" si="152"/>
        <v>0</v>
      </c>
      <c r="Q26" s="134">
        <f>'бюджет округа (района)'!J26+'бюджеты поселений'!J26</f>
        <v>0</v>
      </c>
      <c r="R26" s="134">
        <f>'бюджет округа (района)'!J26</f>
        <v>0</v>
      </c>
      <c r="S26" s="134">
        <f t="shared" si="153"/>
        <v>0</v>
      </c>
      <c r="T26" s="134">
        <f t="shared" si="153"/>
        <v>0</v>
      </c>
      <c r="U26" s="134">
        <f>'бюджет округа (района)'!L26+'бюджеты поселений'!L26</f>
        <v>0</v>
      </c>
      <c r="V26" s="134">
        <f>'бюджет округа (района)'!L26</f>
        <v>0</v>
      </c>
      <c r="W26" s="134">
        <f t="shared" si="154"/>
        <v>0</v>
      </c>
      <c r="X26" s="134">
        <f t="shared" si="154"/>
        <v>0</v>
      </c>
      <c r="Y26" s="134">
        <f>'бюджет округа (района)'!N26+'бюджеты поселений'!N26</f>
        <v>0</v>
      </c>
      <c r="Z26" s="134">
        <f>'бюджет округа (района)'!N26</f>
        <v>0</v>
      </c>
      <c r="AA26" s="134">
        <f t="shared" si="155"/>
        <v>0</v>
      </c>
      <c r="AB26" s="134">
        <f t="shared" si="155"/>
        <v>0</v>
      </c>
      <c r="AC26" s="134">
        <f>'бюджет округа (района)'!P26+'бюджеты поселений'!P26</f>
        <v>0</v>
      </c>
      <c r="AD26" s="134">
        <f>'бюджет округа (района)'!P26</f>
        <v>0</v>
      </c>
      <c r="AE26" s="134">
        <f t="shared" si="156"/>
        <v>0</v>
      </c>
      <c r="AF26" s="134">
        <f t="shared" si="156"/>
        <v>0</v>
      </c>
      <c r="AG26" s="134">
        <f>'бюджет округа (района)'!R26+'бюджеты поселений'!R26</f>
        <v>0</v>
      </c>
      <c r="AH26" s="134">
        <f>'бюджет округа (района)'!R26</f>
        <v>0</v>
      </c>
      <c r="AI26" s="134">
        <f t="shared" si="157"/>
        <v>0</v>
      </c>
      <c r="AJ26" s="134">
        <f t="shared" si="157"/>
        <v>0</v>
      </c>
      <c r="AK26" s="134">
        <f>'бюджет округа (района)'!T26+'бюджеты поселений'!T26</f>
        <v>0</v>
      </c>
      <c r="AL26" s="134">
        <f>'бюджет округа (района)'!T26</f>
        <v>0</v>
      </c>
      <c r="AM26" s="134">
        <f t="shared" si="158"/>
        <v>0</v>
      </c>
      <c r="AN26" s="134">
        <f t="shared" si="158"/>
        <v>0</v>
      </c>
      <c r="AO26" s="134">
        <f>'бюджет округа (района)'!V26+'бюджеты поселений'!V26</f>
        <v>0</v>
      </c>
      <c r="AP26" s="134">
        <f>'бюджет округа (района)'!V26</f>
        <v>0</v>
      </c>
      <c r="AQ26" s="134">
        <f t="shared" si="159"/>
        <v>0</v>
      </c>
      <c r="AR26" s="134">
        <f t="shared" si="159"/>
        <v>0</v>
      </c>
      <c r="AS26" s="134">
        <f>'бюджет округа (района)'!X26+'бюджеты поселений'!X26</f>
        <v>0</v>
      </c>
      <c r="AT26" s="134">
        <f>'бюджет округа (района)'!X26</f>
        <v>0</v>
      </c>
      <c r="AU26" s="134">
        <f t="shared" si="160"/>
        <v>0</v>
      </c>
      <c r="AV26" s="134">
        <f t="shared" si="160"/>
        <v>0</v>
      </c>
      <c r="AW26" s="134">
        <f>'бюджет округа (района)'!Z26+'бюджеты поселений'!Z26</f>
        <v>0</v>
      </c>
      <c r="AX26" s="134">
        <f>'бюджет округа (района)'!Z26</f>
        <v>0</v>
      </c>
      <c r="AY26" s="134">
        <f>'бюджет округа (района)'!AA26+'бюджеты поселений'!AA26</f>
        <v>0</v>
      </c>
      <c r="AZ26" s="134">
        <f>'бюджет округа (района)'!AA26</f>
        <v>0</v>
      </c>
      <c r="BA26" s="135">
        <f t="shared" si="149"/>
        <v>1</v>
      </c>
      <c r="BB26" s="135">
        <f t="shared" si="149"/>
        <v>1</v>
      </c>
      <c r="BC26" s="134">
        <f>'бюджет округа (района)'!AC26+'бюджеты поселений'!AC26</f>
        <v>0</v>
      </c>
      <c r="BD26" s="134">
        <f>'бюджет округа (района)'!AC26</f>
        <v>0</v>
      </c>
      <c r="BE26" s="134">
        <f>'бюджет округа (района)'!AD26+'бюджеты поселений'!AD26</f>
        <v>0</v>
      </c>
      <c r="BF26" s="134">
        <f>'бюджет округа (района)'!AD26</f>
        <v>0</v>
      </c>
      <c r="BG26" s="134">
        <f t="shared" si="161"/>
        <v>0</v>
      </c>
      <c r="BH26" s="134">
        <f t="shared" si="161"/>
        <v>0</v>
      </c>
      <c r="BI26" s="135">
        <f t="shared" si="36"/>
        <v>1</v>
      </c>
      <c r="BJ26" s="135">
        <f t="shared" si="36"/>
        <v>1</v>
      </c>
      <c r="BK26" s="134">
        <f>'бюджет округа (района)'!AG26+'бюджеты поселений'!AG26</f>
        <v>0</v>
      </c>
      <c r="BL26" s="134">
        <f>'бюджет округа (района)'!AG26</f>
        <v>0</v>
      </c>
      <c r="BM26" s="134">
        <f t="shared" si="162"/>
        <v>0</v>
      </c>
      <c r="BN26" s="134">
        <f t="shared" si="162"/>
        <v>0</v>
      </c>
      <c r="BO26" s="135">
        <f t="shared" si="38"/>
        <v>1</v>
      </c>
      <c r="BP26" s="135">
        <f t="shared" si="38"/>
        <v>1</v>
      </c>
      <c r="BQ26" s="134">
        <f>'бюджет округа (района)'!AJ26+'бюджеты поселений'!AJ26</f>
        <v>0</v>
      </c>
      <c r="BR26" s="134">
        <f>'бюджет округа (района)'!AJ26</f>
        <v>0</v>
      </c>
      <c r="BS26" s="134">
        <f t="shared" si="163"/>
        <v>0</v>
      </c>
      <c r="BT26" s="134">
        <f t="shared" si="163"/>
        <v>0</v>
      </c>
      <c r="BU26" s="135">
        <f t="shared" si="40"/>
        <v>1</v>
      </c>
      <c r="BV26" s="135">
        <f t="shared" si="40"/>
        <v>1</v>
      </c>
      <c r="BW26" s="134">
        <f>'бюджет округа (района)'!AM26+'бюджеты поселений'!AM26</f>
        <v>0</v>
      </c>
      <c r="BX26" s="134">
        <f>'бюджет округа (района)'!AM26</f>
        <v>0</v>
      </c>
      <c r="BY26" s="134">
        <f t="shared" si="164"/>
        <v>0</v>
      </c>
      <c r="BZ26" s="134">
        <f t="shared" si="164"/>
        <v>0</v>
      </c>
      <c r="CA26" s="135">
        <f t="shared" si="42"/>
        <v>1</v>
      </c>
      <c r="CB26" s="135">
        <f t="shared" si="42"/>
        <v>1</v>
      </c>
      <c r="CC26" s="134">
        <f>'бюджет округа (района)'!AP26+'бюджеты поселений'!AP26</f>
        <v>0</v>
      </c>
      <c r="CD26" s="134">
        <f>'бюджет округа (района)'!AP26</f>
        <v>0</v>
      </c>
      <c r="CE26" s="134">
        <f t="shared" si="165"/>
        <v>0</v>
      </c>
      <c r="CF26" s="134">
        <f t="shared" si="165"/>
        <v>0</v>
      </c>
      <c r="CG26" s="135">
        <f t="shared" si="44"/>
        <v>1</v>
      </c>
      <c r="CH26" s="135">
        <f t="shared" si="44"/>
        <v>1</v>
      </c>
      <c r="CI26" s="134">
        <f>'бюджет округа (района)'!AS26+'бюджеты поселений'!AS26</f>
        <v>0</v>
      </c>
      <c r="CJ26" s="134">
        <f>'бюджет округа (района)'!AS26</f>
        <v>0</v>
      </c>
      <c r="CK26" s="134">
        <f t="shared" si="166"/>
        <v>0</v>
      </c>
      <c r="CL26" s="134">
        <f t="shared" si="166"/>
        <v>0</v>
      </c>
      <c r="CM26" s="135">
        <f t="shared" si="46"/>
        <v>1</v>
      </c>
      <c r="CN26" s="135">
        <f t="shared" si="46"/>
        <v>1</v>
      </c>
      <c r="CO26" s="134">
        <f>'бюджет округа (района)'!AV26+'бюджеты поселений'!AV26</f>
        <v>0</v>
      </c>
      <c r="CP26" s="134">
        <f>'бюджет округа (района)'!AV26</f>
        <v>0</v>
      </c>
      <c r="CQ26" s="134">
        <f t="shared" si="167"/>
        <v>0</v>
      </c>
      <c r="CR26" s="134">
        <f t="shared" si="167"/>
        <v>0</v>
      </c>
      <c r="CS26" s="135">
        <f t="shared" si="48"/>
        <v>1</v>
      </c>
      <c r="CT26" s="135">
        <f t="shared" si="48"/>
        <v>1</v>
      </c>
      <c r="CU26" s="134">
        <f>'бюджет округа (района)'!AY26+'бюджеты поселений'!AY26</f>
        <v>0</v>
      </c>
      <c r="CV26" s="134">
        <f>'бюджет округа (района)'!AY26</f>
        <v>0</v>
      </c>
      <c r="CW26" s="134">
        <f t="shared" si="168"/>
        <v>0</v>
      </c>
      <c r="CX26" s="134">
        <f t="shared" si="168"/>
        <v>0</v>
      </c>
      <c r="CY26" s="135">
        <f t="shared" si="50"/>
        <v>1</v>
      </c>
      <c r="CZ26" s="135">
        <f t="shared" si="50"/>
        <v>1</v>
      </c>
      <c r="DA26" s="134">
        <f>'бюджет округа (района)'!BB26+'бюджеты поселений'!BB26</f>
        <v>0</v>
      </c>
      <c r="DB26" s="134">
        <f>'бюджет округа (района)'!BB26</f>
        <v>0</v>
      </c>
      <c r="DC26" s="134">
        <f t="shared" si="169"/>
        <v>0</v>
      </c>
      <c r="DD26" s="134">
        <f t="shared" si="169"/>
        <v>0</v>
      </c>
      <c r="DE26" s="135">
        <f t="shared" si="52"/>
        <v>1</v>
      </c>
      <c r="DF26" s="135">
        <f t="shared" si="52"/>
        <v>1</v>
      </c>
      <c r="DG26" s="134">
        <f>'бюджет округа (района)'!BE26+'бюджеты поселений'!BE26</f>
        <v>0</v>
      </c>
      <c r="DH26" s="134">
        <f>'бюджет округа (района)'!BE26</f>
        <v>0</v>
      </c>
      <c r="DI26" s="134">
        <f t="shared" si="170"/>
        <v>0</v>
      </c>
      <c r="DJ26" s="134">
        <f t="shared" si="170"/>
        <v>0</v>
      </c>
      <c r="DK26" s="135">
        <f t="shared" si="54"/>
        <v>1</v>
      </c>
      <c r="DL26" s="135">
        <f t="shared" si="54"/>
        <v>1</v>
      </c>
      <c r="DM26" s="134">
        <f>'бюджет округа (района)'!BH26+'бюджеты поселений'!BH26</f>
        <v>0</v>
      </c>
      <c r="DN26" s="134">
        <f>'бюджет округа (района)'!BH26</f>
        <v>0</v>
      </c>
      <c r="DO26" s="134">
        <f>'бюджет округа (района)'!BI26+'бюджеты поселений'!BI26</f>
        <v>0</v>
      </c>
      <c r="DP26" s="134">
        <f>'бюджет округа (района)'!BI26</f>
        <v>0</v>
      </c>
      <c r="DQ26" s="134">
        <f>'бюджет округа (района)'!BJ26+'бюджеты поселений'!BJ26</f>
        <v>0</v>
      </c>
      <c r="DR26" s="134">
        <f>'бюджет округа (района)'!BJ26</f>
        <v>0</v>
      </c>
      <c r="DS26" s="135">
        <f>IF($AY$26=0,1,DQ26/$AY$26-1)</f>
        <v>1</v>
      </c>
      <c r="DT26" s="135">
        <f>IF($AZ$26=0,1,DR26/$AZ$26-1)</f>
        <v>1</v>
      </c>
      <c r="DU26" s="135">
        <f t="shared" si="58"/>
        <v>1</v>
      </c>
      <c r="DV26" s="135">
        <f t="shared" si="59"/>
        <v>1</v>
      </c>
      <c r="DW26" s="167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59" customFormat="1" ht="18" customHeight="1">
      <c r="A27" s="252" t="s">
        <v>44</v>
      </c>
      <c r="B27" s="253"/>
      <c r="C27" s="132">
        <f t="shared" ref="C27:D27" si="171">C28+C29+C31+C33+C35+C36</f>
        <v>0</v>
      </c>
      <c r="D27" s="132">
        <f t="shared" si="171"/>
        <v>0</v>
      </c>
      <c r="E27" s="132">
        <f>E28+E29+E31+E33+E35+E36</f>
        <v>0</v>
      </c>
      <c r="F27" s="132">
        <f t="shared" ref="F27:AZ27" si="172">F28+F29+F31+F33+F35+F36</f>
        <v>0</v>
      </c>
      <c r="G27" s="132">
        <f t="shared" si="172"/>
        <v>0</v>
      </c>
      <c r="H27" s="132">
        <f t="shared" si="172"/>
        <v>0</v>
      </c>
      <c r="I27" s="132">
        <f t="shared" si="172"/>
        <v>0</v>
      </c>
      <c r="J27" s="132">
        <f t="shared" si="172"/>
        <v>0</v>
      </c>
      <c r="K27" s="132">
        <f t="shared" si="172"/>
        <v>0</v>
      </c>
      <c r="L27" s="132">
        <f t="shared" si="172"/>
        <v>0</v>
      </c>
      <c r="M27" s="132">
        <f t="shared" si="172"/>
        <v>0</v>
      </c>
      <c r="N27" s="132">
        <f t="shared" si="172"/>
        <v>0</v>
      </c>
      <c r="O27" s="132">
        <f t="shared" si="172"/>
        <v>0</v>
      </c>
      <c r="P27" s="132">
        <f t="shared" si="172"/>
        <v>0</v>
      </c>
      <c r="Q27" s="132">
        <f t="shared" si="172"/>
        <v>0</v>
      </c>
      <c r="R27" s="132">
        <f t="shared" si="172"/>
        <v>0</v>
      </c>
      <c r="S27" s="132">
        <f t="shared" si="172"/>
        <v>0</v>
      </c>
      <c r="T27" s="132">
        <f t="shared" si="172"/>
        <v>0</v>
      </c>
      <c r="U27" s="132">
        <f t="shared" si="172"/>
        <v>0</v>
      </c>
      <c r="V27" s="132">
        <f t="shared" si="172"/>
        <v>0</v>
      </c>
      <c r="W27" s="132">
        <f t="shared" si="172"/>
        <v>0</v>
      </c>
      <c r="X27" s="132">
        <f t="shared" si="172"/>
        <v>0</v>
      </c>
      <c r="Y27" s="132">
        <f t="shared" si="172"/>
        <v>0</v>
      </c>
      <c r="Z27" s="132">
        <f t="shared" si="172"/>
        <v>0</v>
      </c>
      <c r="AA27" s="132">
        <f t="shared" si="172"/>
        <v>0</v>
      </c>
      <c r="AB27" s="132">
        <f t="shared" si="172"/>
        <v>0</v>
      </c>
      <c r="AC27" s="132">
        <f t="shared" si="172"/>
        <v>0</v>
      </c>
      <c r="AD27" s="132">
        <f t="shared" si="172"/>
        <v>0</v>
      </c>
      <c r="AE27" s="132">
        <f t="shared" si="172"/>
        <v>0</v>
      </c>
      <c r="AF27" s="132">
        <f t="shared" si="172"/>
        <v>0</v>
      </c>
      <c r="AG27" s="132">
        <f t="shared" si="172"/>
        <v>0</v>
      </c>
      <c r="AH27" s="132">
        <f t="shared" si="172"/>
        <v>0</v>
      </c>
      <c r="AI27" s="132">
        <f t="shared" si="172"/>
        <v>0</v>
      </c>
      <c r="AJ27" s="132">
        <f t="shared" si="172"/>
        <v>0</v>
      </c>
      <c r="AK27" s="132">
        <f t="shared" si="172"/>
        <v>0</v>
      </c>
      <c r="AL27" s="132">
        <f t="shared" si="172"/>
        <v>0</v>
      </c>
      <c r="AM27" s="132">
        <f t="shared" si="172"/>
        <v>0</v>
      </c>
      <c r="AN27" s="132">
        <f t="shared" si="172"/>
        <v>0</v>
      </c>
      <c r="AO27" s="132">
        <f t="shared" si="172"/>
        <v>0</v>
      </c>
      <c r="AP27" s="132">
        <f t="shared" si="172"/>
        <v>0</v>
      </c>
      <c r="AQ27" s="132">
        <f t="shared" si="172"/>
        <v>0</v>
      </c>
      <c r="AR27" s="132">
        <f t="shared" si="172"/>
        <v>0</v>
      </c>
      <c r="AS27" s="132">
        <f t="shared" si="172"/>
        <v>0</v>
      </c>
      <c r="AT27" s="132">
        <f t="shared" si="172"/>
        <v>0</v>
      </c>
      <c r="AU27" s="132">
        <f t="shared" si="172"/>
        <v>0</v>
      </c>
      <c r="AV27" s="132">
        <f t="shared" si="172"/>
        <v>0</v>
      </c>
      <c r="AW27" s="132">
        <f t="shared" si="172"/>
        <v>0</v>
      </c>
      <c r="AX27" s="132">
        <f t="shared" si="172"/>
        <v>0</v>
      </c>
      <c r="AY27" s="132">
        <f t="shared" si="172"/>
        <v>0</v>
      </c>
      <c r="AZ27" s="132">
        <f t="shared" si="172"/>
        <v>0</v>
      </c>
      <c r="BA27" s="133">
        <f t="shared" ref="BA27:BB42" si="173">IF(E27=0,1,AY27/E27-1)</f>
        <v>1</v>
      </c>
      <c r="BB27" s="133">
        <f t="shared" si="173"/>
        <v>1</v>
      </c>
      <c r="BC27" s="132">
        <f t="shared" ref="BC27:DJ27" si="174">BC28+BC29+BC31+BC33+BC35+BC36</f>
        <v>0</v>
      </c>
      <c r="BD27" s="132">
        <f t="shared" si="174"/>
        <v>0</v>
      </c>
      <c r="BE27" s="132">
        <f t="shared" si="174"/>
        <v>0</v>
      </c>
      <c r="BF27" s="132">
        <f t="shared" si="174"/>
        <v>0</v>
      </c>
      <c r="BG27" s="132">
        <f t="shared" si="174"/>
        <v>0</v>
      </c>
      <c r="BH27" s="132">
        <f t="shared" si="174"/>
        <v>0</v>
      </c>
      <c r="BI27" s="133">
        <f t="shared" si="36"/>
        <v>1</v>
      </c>
      <c r="BJ27" s="133">
        <f t="shared" si="36"/>
        <v>1</v>
      </c>
      <c r="BK27" s="132">
        <f t="shared" ref="BK27:BL27" si="175">BK28+BK29+BK31+BK33+BK35+BK36</f>
        <v>0</v>
      </c>
      <c r="BL27" s="132">
        <f t="shared" si="175"/>
        <v>0</v>
      </c>
      <c r="BM27" s="132">
        <f t="shared" si="174"/>
        <v>0</v>
      </c>
      <c r="BN27" s="132">
        <f t="shared" si="174"/>
        <v>0</v>
      </c>
      <c r="BO27" s="133">
        <f t="shared" si="38"/>
        <v>1</v>
      </c>
      <c r="BP27" s="133">
        <f t="shared" si="38"/>
        <v>1</v>
      </c>
      <c r="BQ27" s="132">
        <f t="shared" ref="BQ27:BR27" si="176">BQ28+BQ29+BQ31+BQ33+BQ35+BQ36</f>
        <v>0</v>
      </c>
      <c r="BR27" s="132">
        <f t="shared" si="176"/>
        <v>0</v>
      </c>
      <c r="BS27" s="132">
        <f t="shared" si="174"/>
        <v>0</v>
      </c>
      <c r="BT27" s="132">
        <f t="shared" si="174"/>
        <v>0</v>
      </c>
      <c r="BU27" s="133">
        <f t="shared" si="40"/>
        <v>1</v>
      </c>
      <c r="BV27" s="133">
        <f t="shared" si="40"/>
        <v>1</v>
      </c>
      <c r="BW27" s="132">
        <f t="shared" ref="BW27:BX27" si="177">BW28+BW29+BW31+BW33+BW35+BW36</f>
        <v>0</v>
      </c>
      <c r="BX27" s="132">
        <f t="shared" si="177"/>
        <v>0</v>
      </c>
      <c r="BY27" s="132">
        <f t="shared" si="174"/>
        <v>0</v>
      </c>
      <c r="BZ27" s="132">
        <f t="shared" si="174"/>
        <v>0</v>
      </c>
      <c r="CA27" s="133">
        <f t="shared" si="42"/>
        <v>1</v>
      </c>
      <c r="CB27" s="133">
        <f t="shared" si="42"/>
        <v>1</v>
      </c>
      <c r="CC27" s="132">
        <f t="shared" ref="CC27:CD27" si="178">CC28+CC29+CC31+CC33+CC35+CC36</f>
        <v>0</v>
      </c>
      <c r="CD27" s="132">
        <f t="shared" si="178"/>
        <v>0</v>
      </c>
      <c r="CE27" s="132">
        <f t="shared" si="174"/>
        <v>0</v>
      </c>
      <c r="CF27" s="132">
        <f t="shared" si="174"/>
        <v>0</v>
      </c>
      <c r="CG27" s="133">
        <f t="shared" si="44"/>
        <v>1</v>
      </c>
      <c r="CH27" s="133">
        <f t="shared" si="44"/>
        <v>1</v>
      </c>
      <c r="CI27" s="132">
        <f t="shared" ref="CI27:CJ27" si="179">CI28+CI29+CI31+CI33+CI35+CI36</f>
        <v>0</v>
      </c>
      <c r="CJ27" s="132">
        <f t="shared" si="179"/>
        <v>0</v>
      </c>
      <c r="CK27" s="132">
        <f t="shared" si="174"/>
        <v>0</v>
      </c>
      <c r="CL27" s="132">
        <f t="shared" si="174"/>
        <v>0</v>
      </c>
      <c r="CM27" s="133">
        <f t="shared" si="46"/>
        <v>1</v>
      </c>
      <c r="CN27" s="133">
        <f t="shared" si="46"/>
        <v>1</v>
      </c>
      <c r="CO27" s="132">
        <f t="shared" ref="CO27:CP27" si="180">CO28+CO29+CO31+CO33+CO35+CO36</f>
        <v>0</v>
      </c>
      <c r="CP27" s="132">
        <f t="shared" si="180"/>
        <v>0</v>
      </c>
      <c r="CQ27" s="132">
        <f t="shared" si="174"/>
        <v>0</v>
      </c>
      <c r="CR27" s="132">
        <f t="shared" si="174"/>
        <v>0</v>
      </c>
      <c r="CS27" s="133">
        <f t="shared" si="48"/>
        <v>1</v>
      </c>
      <c r="CT27" s="133">
        <f t="shared" si="48"/>
        <v>1</v>
      </c>
      <c r="CU27" s="132">
        <f t="shared" ref="CU27:CV27" si="181">CU28+CU29+CU31+CU33+CU35+CU36</f>
        <v>0</v>
      </c>
      <c r="CV27" s="132">
        <f t="shared" si="181"/>
        <v>0</v>
      </c>
      <c r="CW27" s="132">
        <f t="shared" si="174"/>
        <v>0</v>
      </c>
      <c r="CX27" s="132">
        <f t="shared" si="174"/>
        <v>0</v>
      </c>
      <c r="CY27" s="133">
        <f t="shared" si="50"/>
        <v>1</v>
      </c>
      <c r="CZ27" s="133">
        <f t="shared" si="50"/>
        <v>1</v>
      </c>
      <c r="DA27" s="132">
        <f t="shared" ref="DA27:DB27" si="182">DA28+DA29+DA31+DA33+DA35+DA36</f>
        <v>0</v>
      </c>
      <c r="DB27" s="132">
        <f t="shared" si="182"/>
        <v>0</v>
      </c>
      <c r="DC27" s="132">
        <f t="shared" si="174"/>
        <v>0</v>
      </c>
      <c r="DD27" s="132">
        <f t="shared" si="174"/>
        <v>0</v>
      </c>
      <c r="DE27" s="133">
        <f t="shared" si="52"/>
        <v>1</v>
      </c>
      <c r="DF27" s="133">
        <f t="shared" si="52"/>
        <v>1</v>
      </c>
      <c r="DG27" s="132">
        <f t="shared" ref="DG27:DH27" si="183">DG28+DG29+DG31+DG33+DG35+DG36</f>
        <v>0</v>
      </c>
      <c r="DH27" s="132">
        <f t="shared" si="183"/>
        <v>0</v>
      </c>
      <c r="DI27" s="132">
        <f t="shared" si="174"/>
        <v>0</v>
      </c>
      <c r="DJ27" s="132">
        <f t="shared" si="174"/>
        <v>0</v>
      </c>
      <c r="DK27" s="133">
        <f t="shared" si="54"/>
        <v>1</v>
      </c>
      <c r="DL27" s="133">
        <f t="shared" si="54"/>
        <v>1</v>
      </c>
      <c r="DM27" s="132">
        <f t="shared" ref="DM27:DR27" si="184">DM28+DM29+DM31+DM33+DM35+DM36</f>
        <v>0</v>
      </c>
      <c r="DN27" s="132">
        <f t="shared" si="184"/>
        <v>0</v>
      </c>
      <c r="DO27" s="132">
        <f t="shared" si="184"/>
        <v>0</v>
      </c>
      <c r="DP27" s="132">
        <f t="shared" si="184"/>
        <v>0</v>
      </c>
      <c r="DQ27" s="132">
        <f t="shared" si="184"/>
        <v>0</v>
      </c>
      <c r="DR27" s="132">
        <f t="shared" si="184"/>
        <v>0</v>
      </c>
      <c r="DS27" s="133">
        <f>IF($AY$27=0,1,DQ27/$AY$27-1)</f>
        <v>1</v>
      </c>
      <c r="DT27" s="133">
        <f>IF($AZ$27=0,1,DR27/$AZ$27-1)</f>
        <v>1</v>
      </c>
      <c r="DU27" s="133">
        <f t="shared" si="58"/>
        <v>1</v>
      </c>
      <c r="DV27" s="133">
        <f t="shared" si="59"/>
        <v>1</v>
      </c>
      <c r="DW27" s="166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</row>
    <row r="28" spans="1:268" s="64" customFormat="1" ht="18" customHeight="1">
      <c r="A28" s="236" t="s">
        <v>94</v>
      </c>
      <c r="B28" s="237"/>
      <c r="C28" s="134">
        <f>'бюджет округа (района)'!C28+'бюджеты поселений'!C28</f>
        <v>0</v>
      </c>
      <c r="D28" s="137">
        <f>'бюджет округа (района)'!C28</f>
        <v>0</v>
      </c>
      <c r="E28" s="134">
        <f t="shared" si="150"/>
        <v>0</v>
      </c>
      <c r="F28" s="137">
        <f>H28+J28+N28+R28+V28+Z28+AD28+AH28+AL28+AP28+AT28+AX28</f>
        <v>0</v>
      </c>
      <c r="G28" s="134">
        <f>'бюджет округа (района)'!E28+'бюджеты поселений'!E28</f>
        <v>0</v>
      </c>
      <c r="H28" s="137">
        <f>'бюджет округа (района)'!E28</f>
        <v>0</v>
      </c>
      <c r="I28" s="134">
        <f>'бюджет округа (района)'!F28+'бюджеты поселений'!F28</f>
        <v>0</v>
      </c>
      <c r="J28" s="137">
        <f>'бюджет округа (района)'!F28</f>
        <v>0</v>
      </c>
      <c r="K28" s="134">
        <f t="shared" si="151"/>
        <v>0</v>
      </c>
      <c r="L28" s="134">
        <f t="shared" si="151"/>
        <v>0</v>
      </c>
      <c r="M28" s="134">
        <f>'бюджет округа (района)'!H28+'бюджеты поселений'!H28</f>
        <v>0</v>
      </c>
      <c r="N28" s="137">
        <f>'бюджет округа (района)'!H28</f>
        <v>0</v>
      </c>
      <c r="O28" s="134">
        <f t="shared" si="152"/>
        <v>0</v>
      </c>
      <c r="P28" s="134">
        <f t="shared" si="152"/>
        <v>0</v>
      </c>
      <c r="Q28" s="134">
        <f>'бюджет округа (района)'!J28+'бюджеты поселений'!J28</f>
        <v>0</v>
      </c>
      <c r="R28" s="137">
        <f>'бюджет округа (района)'!J28</f>
        <v>0</v>
      </c>
      <c r="S28" s="134">
        <f t="shared" si="153"/>
        <v>0</v>
      </c>
      <c r="T28" s="134">
        <f t="shared" si="153"/>
        <v>0</v>
      </c>
      <c r="U28" s="134">
        <f>'бюджет округа (района)'!L28+'бюджеты поселений'!L28</f>
        <v>0</v>
      </c>
      <c r="V28" s="137">
        <f>'бюджет округа (района)'!L28</f>
        <v>0</v>
      </c>
      <c r="W28" s="134">
        <f t="shared" si="154"/>
        <v>0</v>
      </c>
      <c r="X28" s="134">
        <f t="shared" si="154"/>
        <v>0</v>
      </c>
      <c r="Y28" s="134">
        <f>'бюджет округа (района)'!N28+'бюджеты поселений'!N28</f>
        <v>0</v>
      </c>
      <c r="Z28" s="137">
        <f>'бюджет округа (района)'!N28</f>
        <v>0</v>
      </c>
      <c r="AA28" s="134">
        <f t="shared" si="155"/>
        <v>0</v>
      </c>
      <c r="AB28" s="134">
        <f t="shared" si="155"/>
        <v>0</v>
      </c>
      <c r="AC28" s="134">
        <f>'бюджет округа (района)'!P28+'бюджеты поселений'!P28</f>
        <v>0</v>
      </c>
      <c r="AD28" s="137">
        <f>'бюджет округа (района)'!P28</f>
        <v>0</v>
      </c>
      <c r="AE28" s="134">
        <f t="shared" si="156"/>
        <v>0</v>
      </c>
      <c r="AF28" s="134">
        <f t="shared" si="156"/>
        <v>0</v>
      </c>
      <c r="AG28" s="134">
        <f>'бюджет округа (района)'!R28+'бюджеты поселений'!R28</f>
        <v>0</v>
      </c>
      <c r="AH28" s="137">
        <f>'бюджет округа (района)'!R28</f>
        <v>0</v>
      </c>
      <c r="AI28" s="134">
        <f t="shared" ref="AI28:AJ36" si="185">AE28+AG28</f>
        <v>0</v>
      </c>
      <c r="AJ28" s="134">
        <f t="shared" si="185"/>
        <v>0</v>
      </c>
      <c r="AK28" s="134">
        <f>'бюджет округа (района)'!T28+'бюджеты поселений'!T28</f>
        <v>0</v>
      </c>
      <c r="AL28" s="137">
        <f>'бюджет округа (района)'!T28</f>
        <v>0</v>
      </c>
      <c r="AM28" s="134">
        <f t="shared" ref="AM28:AN36" si="186">AI28+AK28</f>
        <v>0</v>
      </c>
      <c r="AN28" s="134">
        <f t="shared" si="186"/>
        <v>0</v>
      </c>
      <c r="AO28" s="134">
        <f>'бюджет округа (района)'!V28+'бюджеты поселений'!V28</f>
        <v>0</v>
      </c>
      <c r="AP28" s="137">
        <f>'бюджет округа (района)'!V28</f>
        <v>0</v>
      </c>
      <c r="AQ28" s="134">
        <f t="shared" ref="AQ28:AR36" si="187">AM28+AO28</f>
        <v>0</v>
      </c>
      <c r="AR28" s="134">
        <f t="shared" si="187"/>
        <v>0</v>
      </c>
      <c r="AS28" s="134">
        <f>'бюджет округа (района)'!X28+'бюджеты поселений'!X28</f>
        <v>0</v>
      </c>
      <c r="AT28" s="137">
        <f>'бюджет округа (района)'!X28</f>
        <v>0</v>
      </c>
      <c r="AU28" s="134">
        <f t="shared" ref="AU28:AV36" si="188">AQ28+AS28</f>
        <v>0</v>
      </c>
      <c r="AV28" s="134">
        <f t="shared" si="188"/>
        <v>0</v>
      </c>
      <c r="AW28" s="134">
        <f>'бюджет округа (района)'!Z28+'бюджеты поселений'!Z28</f>
        <v>0</v>
      </c>
      <c r="AX28" s="137">
        <f>'бюджет округа (района)'!Z28</f>
        <v>0</v>
      </c>
      <c r="AY28" s="134">
        <f>'бюджет округа (района)'!AA28+'бюджеты поселений'!AA28</f>
        <v>0</v>
      </c>
      <c r="AZ28" s="137">
        <f>'бюджет округа (района)'!AA28</f>
        <v>0</v>
      </c>
      <c r="BA28" s="135">
        <f t="shared" si="173"/>
        <v>1</v>
      </c>
      <c r="BB28" s="135">
        <f t="shared" si="173"/>
        <v>1</v>
      </c>
      <c r="BC28" s="134">
        <f>'бюджет округа (района)'!AC28+'бюджеты поселений'!AC28</f>
        <v>0</v>
      </c>
      <c r="BD28" s="137">
        <f>'бюджет округа (района)'!AC28</f>
        <v>0</v>
      </c>
      <c r="BE28" s="134">
        <f>'бюджет округа (района)'!AD28+'бюджеты поселений'!AD28</f>
        <v>0</v>
      </c>
      <c r="BF28" s="137">
        <f>'бюджет округа (района)'!AD28</f>
        <v>0</v>
      </c>
      <c r="BG28" s="134">
        <f t="shared" ref="BG28:BH36" si="189">BC28+BE28</f>
        <v>0</v>
      </c>
      <c r="BH28" s="134">
        <f t="shared" si="189"/>
        <v>0</v>
      </c>
      <c r="BI28" s="135">
        <f t="shared" si="36"/>
        <v>1</v>
      </c>
      <c r="BJ28" s="135">
        <f t="shared" si="36"/>
        <v>1</v>
      </c>
      <c r="BK28" s="134">
        <f>'бюджет округа (района)'!AG28+'бюджеты поселений'!AG28</f>
        <v>0</v>
      </c>
      <c r="BL28" s="137">
        <f>'бюджет округа (района)'!AG28</f>
        <v>0</v>
      </c>
      <c r="BM28" s="134">
        <f t="shared" ref="BM28:BN36" si="190">BG28+BK28</f>
        <v>0</v>
      </c>
      <c r="BN28" s="134">
        <f t="shared" si="190"/>
        <v>0</v>
      </c>
      <c r="BO28" s="135">
        <f t="shared" si="38"/>
        <v>1</v>
      </c>
      <c r="BP28" s="135">
        <f t="shared" si="38"/>
        <v>1</v>
      </c>
      <c r="BQ28" s="134">
        <f>'бюджет округа (района)'!AJ28+'бюджеты поселений'!AJ28</f>
        <v>0</v>
      </c>
      <c r="BR28" s="137">
        <f>'бюджет округа (района)'!AJ28</f>
        <v>0</v>
      </c>
      <c r="BS28" s="134">
        <f t="shared" ref="BS28:BT36" si="191">BM28+BQ28</f>
        <v>0</v>
      </c>
      <c r="BT28" s="134">
        <f t="shared" si="191"/>
        <v>0</v>
      </c>
      <c r="BU28" s="135">
        <f t="shared" si="40"/>
        <v>1</v>
      </c>
      <c r="BV28" s="135">
        <f t="shared" si="40"/>
        <v>1</v>
      </c>
      <c r="BW28" s="134">
        <f>'бюджет округа (района)'!AM28+'бюджеты поселений'!AM28</f>
        <v>0</v>
      </c>
      <c r="BX28" s="137">
        <f>'бюджет округа (района)'!AM28</f>
        <v>0</v>
      </c>
      <c r="BY28" s="134">
        <f t="shared" ref="BY28:BZ36" si="192">BS28+BW28</f>
        <v>0</v>
      </c>
      <c r="BZ28" s="134">
        <f t="shared" si="192"/>
        <v>0</v>
      </c>
      <c r="CA28" s="135">
        <f t="shared" si="42"/>
        <v>1</v>
      </c>
      <c r="CB28" s="135">
        <f t="shared" si="42"/>
        <v>1</v>
      </c>
      <c r="CC28" s="134">
        <f>'бюджет округа (района)'!AP28+'бюджеты поселений'!AP28</f>
        <v>0</v>
      </c>
      <c r="CD28" s="137">
        <f>'бюджет округа (района)'!AP28</f>
        <v>0</v>
      </c>
      <c r="CE28" s="134">
        <f t="shared" ref="CE28:CF36" si="193">BY28+CC28</f>
        <v>0</v>
      </c>
      <c r="CF28" s="134">
        <f t="shared" si="193"/>
        <v>0</v>
      </c>
      <c r="CG28" s="135">
        <f t="shared" si="44"/>
        <v>1</v>
      </c>
      <c r="CH28" s="135">
        <f t="shared" si="44"/>
        <v>1</v>
      </c>
      <c r="CI28" s="134">
        <f>'бюджет округа (района)'!AS28+'бюджеты поселений'!AS28</f>
        <v>0</v>
      </c>
      <c r="CJ28" s="137">
        <f>'бюджет округа (района)'!AS28</f>
        <v>0</v>
      </c>
      <c r="CK28" s="134">
        <f t="shared" ref="CK28:CL36" si="194">CE28+CI28</f>
        <v>0</v>
      </c>
      <c r="CL28" s="134">
        <f t="shared" si="194"/>
        <v>0</v>
      </c>
      <c r="CM28" s="135">
        <f t="shared" si="46"/>
        <v>1</v>
      </c>
      <c r="CN28" s="135">
        <f t="shared" si="46"/>
        <v>1</v>
      </c>
      <c r="CO28" s="134">
        <f>'бюджет округа (района)'!AV28+'бюджеты поселений'!AV28</f>
        <v>0</v>
      </c>
      <c r="CP28" s="137">
        <f>'бюджет округа (района)'!AV28</f>
        <v>0</v>
      </c>
      <c r="CQ28" s="134">
        <f t="shared" ref="CQ28:CR36" si="195">CK28+CO28</f>
        <v>0</v>
      </c>
      <c r="CR28" s="134">
        <f t="shared" si="195"/>
        <v>0</v>
      </c>
      <c r="CS28" s="135">
        <f t="shared" si="48"/>
        <v>1</v>
      </c>
      <c r="CT28" s="135">
        <f t="shared" si="48"/>
        <v>1</v>
      </c>
      <c r="CU28" s="134">
        <f>'бюджет округа (района)'!AY28+'бюджеты поселений'!AY28</f>
        <v>0</v>
      </c>
      <c r="CV28" s="137">
        <f>'бюджет округа (района)'!AY28</f>
        <v>0</v>
      </c>
      <c r="CW28" s="134">
        <f t="shared" ref="CW28:CX36" si="196">CQ28+CU28</f>
        <v>0</v>
      </c>
      <c r="CX28" s="134">
        <f t="shared" si="196"/>
        <v>0</v>
      </c>
      <c r="CY28" s="135">
        <f t="shared" si="50"/>
        <v>1</v>
      </c>
      <c r="CZ28" s="135">
        <f t="shared" si="50"/>
        <v>1</v>
      </c>
      <c r="DA28" s="134">
        <f>'бюджет округа (района)'!BB28+'бюджеты поселений'!BB28</f>
        <v>0</v>
      </c>
      <c r="DB28" s="137">
        <f>'бюджет округа (района)'!BB28</f>
        <v>0</v>
      </c>
      <c r="DC28" s="134">
        <f t="shared" ref="DC28:DD36" si="197">CW28+DA28</f>
        <v>0</v>
      </c>
      <c r="DD28" s="134">
        <f t="shared" si="197"/>
        <v>0</v>
      </c>
      <c r="DE28" s="135">
        <f t="shared" si="52"/>
        <v>1</v>
      </c>
      <c r="DF28" s="135">
        <f t="shared" si="52"/>
        <v>1</v>
      </c>
      <c r="DG28" s="134">
        <f>'бюджет округа (района)'!BE28+'бюджеты поселений'!BE28</f>
        <v>0</v>
      </c>
      <c r="DH28" s="137">
        <f>'бюджет округа (района)'!BE28</f>
        <v>0</v>
      </c>
      <c r="DI28" s="134">
        <f t="shared" ref="DI28:DJ36" si="198">DC28+DG28</f>
        <v>0</v>
      </c>
      <c r="DJ28" s="134">
        <f t="shared" si="198"/>
        <v>0</v>
      </c>
      <c r="DK28" s="135">
        <f t="shared" si="54"/>
        <v>1</v>
      </c>
      <c r="DL28" s="135">
        <f t="shared" si="54"/>
        <v>1</v>
      </c>
      <c r="DM28" s="134">
        <f>'бюджет округа (района)'!BH28+'бюджеты поселений'!BH28</f>
        <v>0</v>
      </c>
      <c r="DN28" s="137">
        <f>'бюджет округа (района)'!BH28</f>
        <v>0</v>
      </c>
      <c r="DO28" s="134">
        <f>'бюджет округа (района)'!BI28+'бюджеты поселений'!BI28</f>
        <v>0</v>
      </c>
      <c r="DP28" s="137">
        <f>'бюджет округа (района)'!BI28</f>
        <v>0</v>
      </c>
      <c r="DQ28" s="134">
        <f>'бюджет округа (района)'!BJ28+'бюджеты поселений'!BJ28</f>
        <v>0</v>
      </c>
      <c r="DR28" s="137">
        <f>'бюджет округа (района)'!BJ28</f>
        <v>0</v>
      </c>
      <c r="DS28" s="135">
        <f>IF($AY$28=0,1,DQ28/$AY$28-1)</f>
        <v>1</v>
      </c>
      <c r="DT28" s="135">
        <f>IF($AZ$28=0,1,DR28/$AZ$28-1)</f>
        <v>1</v>
      </c>
      <c r="DU28" s="135">
        <f t="shared" si="58"/>
        <v>1</v>
      </c>
      <c r="DV28" s="135">
        <f t="shared" si="59"/>
        <v>1</v>
      </c>
      <c r="DW28" s="167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236" t="s">
        <v>45</v>
      </c>
      <c r="B29" s="237"/>
      <c r="C29" s="134">
        <f>'бюджет округа (района)'!C29+'бюджеты поселений'!C29</f>
        <v>0</v>
      </c>
      <c r="D29" s="137">
        <f>'бюджет округа (района)'!C29</f>
        <v>0</v>
      </c>
      <c r="E29" s="134">
        <f t="shared" si="150"/>
        <v>0</v>
      </c>
      <c r="F29" s="137">
        <f t="shared" si="150"/>
        <v>0</v>
      </c>
      <c r="G29" s="134">
        <f>'бюджет округа (района)'!E29+'бюджеты поселений'!E29</f>
        <v>0</v>
      </c>
      <c r="H29" s="137">
        <f>'бюджет округа (района)'!E29</f>
        <v>0</v>
      </c>
      <c r="I29" s="134">
        <f>'бюджет округа (района)'!F29+'бюджеты поселений'!F29</f>
        <v>0</v>
      </c>
      <c r="J29" s="137">
        <f>'бюджет округа (района)'!F29</f>
        <v>0</v>
      </c>
      <c r="K29" s="134">
        <f t="shared" si="151"/>
        <v>0</v>
      </c>
      <c r="L29" s="134">
        <f t="shared" si="151"/>
        <v>0</v>
      </c>
      <c r="M29" s="134">
        <f>'бюджет округа (района)'!H29+'бюджеты поселений'!H29</f>
        <v>0</v>
      </c>
      <c r="N29" s="137">
        <f>'бюджет округа (района)'!H29</f>
        <v>0</v>
      </c>
      <c r="O29" s="134">
        <f t="shared" si="152"/>
        <v>0</v>
      </c>
      <c r="P29" s="134">
        <f t="shared" si="152"/>
        <v>0</v>
      </c>
      <c r="Q29" s="134">
        <f>'бюджет округа (района)'!J29+'бюджеты поселений'!J29</f>
        <v>0</v>
      </c>
      <c r="R29" s="137">
        <f>'бюджет округа (района)'!J29</f>
        <v>0</v>
      </c>
      <c r="S29" s="134">
        <f t="shared" si="153"/>
        <v>0</v>
      </c>
      <c r="T29" s="134">
        <f t="shared" si="153"/>
        <v>0</v>
      </c>
      <c r="U29" s="134">
        <f>'бюджет округа (района)'!L29+'бюджеты поселений'!L29</f>
        <v>0</v>
      </c>
      <c r="V29" s="137">
        <f>'бюджет округа (района)'!L29</f>
        <v>0</v>
      </c>
      <c r="W29" s="134">
        <f t="shared" si="154"/>
        <v>0</v>
      </c>
      <c r="X29" s="134">
        <f t="shared" si="154"/>
        <v>0</v>
      </c>
      <c r="Y29" s="134">
        <f>'бюджет округа (района)'!N29+'бюджеты поселений'!N29</f>
        <v>0</v>
      </c>
      <c r="Z29" s="137">
        <f>'бюджет округа (района)'!N29</f>
        <v>0</v>
      </c>
      <c r="AA29" s="134">
        <f t="shared" si="155"/>
        <v>0</v>
      </c>
      <c r="AB29" s="134">
        <f t="shared" si="155"/>
        <v>0</v>
      </c>
      <c r="AC29" s="134">
        <f>'бюджет округа (района)'!P29+'бюджеты поселений'!P29</f>
        <v>0</v>
      </c>
      <c r="AD29" s="137">
        <f>'бюджет округа (района)'!P29</f>
        <v>0</v>
      </c>
      <c r="AE29" s="134">
        <f t="shared" si="156"/>
        <v>0</v>
      </c>
      <c r="AF29" s="134">
        <f t="shared" si="156"/>
        <v>0</v>
      </c>
      <c r="AG29" s="134">
        <f>'бюджет округа (района)'!R29+'бюджеты поселений'!R29</f>
        <v>0</v>
      </c>
      <c r="AH29" s="137">
        <f>'бюджет округа (района)'!R29</f>
        <v>0</v>
      </c>
      <c r="AI29" s="134">
        <f t="shared" si="185"/>
        <v>0</v>
      </c>
      <c r="AJ29" s="134">
        <f t="shared" si="185"/>
        <v>0</v>
      </c>
      <c r="AK29" s="134">
        <f>'бюджет округа (района)'!T29+'бюджеты поселений'!T29</f>
        <v>0</v>
      </c>
      <c r="AL29" s="137">
        <f>'бюджет округа (района)'!T29</f>
        <v>0</v>
      </c>
      <c r="AM29" s="134">
        <f t="shared" si="186"/>
        <v>0</v>
      </c>
      <c r="AN29" s="134">
        <f t="shared" si="186"/>
        <v>0</v>
      </c>
      <c r="AO29" s="134">
        <f>'бюджет округа (района)'!V29+'бюджеты поселений'!V29</f>
        <v>0</v>
      </c>
      <c r="AP29" s="137">
        <f>'бюджет округа (района)'!V29</f>
        <v>0</v>
      </c>
      <c r="AQ29" s="134">
        <f t="shared" si="187"/>
        <v>0</v>
      </c>
      <c r="AR29" s="134">
        <f t="shared" si="187"/>
        <v>0</v>
      </c>
      <c r="AS29" s="134">
        <f>'бюджет округа (района)'!X29+'бюджеты поселений'!X29</f>
        <v>0</v>
      </c>
      <c r="AT29" s="137">
        <f>'бюджет округа (района)'!X29</f>
        <v>0</v>
      </c>
      <c r="AU29" s="134">
        <f t="shared" si="188"/>
        <v>0</v>
      </c>
      <c r="AV29" s="134">
        <f t="shared" si="188"/>
        <v>0</v>
      </c>
      <c r="AW29" s="134">
        <f>'бюджет округа (района)'!Z29+'бюджеты поселений'!Z29</f>
        <v>0</v>
      </c>
      <c r="AX29" s="137">
        <f>'бюджет округа (района)'!Z29</f>
        <v>0</v>
      </c>
      <c r="AY29" s="134">
        <f>'бюджет округа (района)'!AA29+'бюджеты поселений'!AA29</f>
        <v>0</v>
      </c>
      <c r="AZ29" s="137">
        <f>'бюджет округа (района)'!AA29</f>
        <v>0</v>
      </c>
      <c r="BA29" s="135">
        <f t="shared" si="173"/>
        <v>1</v>
      </c>
      <c r="BB29" s="135">
        <f t="shared" si="173"/>
        <v>1</v>
      </c>
      <c r="BC29" s="134">
        <f>'бюджет округа (района)'!AC29+'бюджеты поселений'!AC29</f>
        <v>0</v>
      </c>
      <c r="BD29" s="137">
        <f>'бюджет округа (района)'!AC29</f>
        <v>0</v>
      </c>
      <c r="BE29" s="134">
        <f>'бюджет округа (района)'!AD29+'бюджеты поселений'!AD29</f>
        <v>0</v>
      </c>
      <c r="BF29" s="137">
        <f>'бюджет округа (района)'!AD29</f>
        <v>0</v>
      </c>
      <c r="BG29" s="134">
        <f t="shared" si="189"/>
        <v>0</v>
      </c>
      <c r="BH29" s="134">
        <f t="shared" si="189"/>
        <v>0</v>
      </c>
      <c r="BI29" s="135">
        <f t="shared" si="36"/>
        <v>1</v>
      </c>
      <c r="BJ29" s="135">
        <f t="shared" si="36"/>
        <v>1</v>
      </c>
      <c r="BK29" s="134">
        <f>'бюджет округа (района)'!AG29+'бюджеты поселений'!AG29</f>
        <v>0</v>
      </c>
      <c r="BL29" s="137">
        <f>'бюджет округа (района)'!AG29</f>
        <v>0</v>
      </c>
      <c r="BM29" s="134">
        <f t="shared" si="190"/>
        <v>0</v>
      </c>
      <c r="BN29" s="134">
        <f t="shared" si="190"/>
        <v>0</v>
      </c>
      <c r="BO29" s="135">
        <f t="shared" si="38"/>
        <v>1</v>
      </c>
      <c r="BP29" s="135">
        <f t="shared" si="38"/>
        <v>1</v>
      </c>
      <c r="BQ29" s="134">
        <f>'бюджет округа (района)'!AJ29+'бюджеты поселений'!AJ29</f>
        <v>0</v>
      </c>
      <c r="BR29" s="137">
        <f>'бюджет округа (района)'!AJ29</f>
        <v>0</v>
      </c>
      <c r="BS29" s="134">
        <f t="shared" si="191"/>
        <v>0</v>
      </c>
      <c r="BT29" s="134">
        <f t="shared" si="191"/>
        <v>0</v>
      </c>
      <c r="BU29" s="135">
        <f t="shared" si="40"/>
        <v>1</v>
      </c>
      <c r="BV29" s="135">
        <f t="shared" si="40"/>
        <v>1</v>
      </c>
      <c r="BW29" s="134">
        <f>'бюджет округа (района)'!AM29+'бюджеты поселений'!AM29</f>
        <v>0</v>
      </c>
      <c r="BX29" s="137">
        <f>'бюджет округа (района)'!AM29</f>
        <v>0</v>
      </c>
      <c r="BY29" s="134">
        <f t="shared" si="192"/>
        <v>0</v>
      </c>
      <c r="BZ29" s="134">
        <f t="shared" si="192"/>
        <v>0</v>
      </c>
      <c r="CA29" s="135">
        <f t="shared" si="42"/>
        <v>1</v>
      </c>
      <c r="CB29" s="135">
        <f t="shared" si="42"/>
        <v>1</v>
      </c>
      <c r="CC29" s="134">
        <f>'бюджет округа (района)'!AP29+'бюджеты поселений'!AP29</f>
        <v>0</v>
      </c>
      <c r="CD29" s="137">
        <f>'бюджет округа (района)'!AP29</f>
        <v>0</v>
      </c>
      <c r="CE29" s="134">
        <f t="shared" si="193"/>
        <v>0</v>
      </c>
      <c r="CF29" s="134">
        <f t="shared" si="193"/>
        <v>0</v>
      </c>
      <c r="CG29" s="135">
        <f t="shared" si="44"/>
        <v>1</v>
      </c>
      <c r="CH29" s="135">
        <f t="shared" si="44"/>
        <v>1</v>
      </c>
      <c r="CI29" s="134">
        <f>'бюджет округа (района)'!AS29+'бюджеты поселений'!AS29</f>
        <v>0</v>
      </c>
      <c r="CJ29" s="137">
        <f>'бюджет округа (района)'!AS29</f>
        <v>0</v>
      </c>
      <c r="CK29" s="134">
        <f t="shared" si="194"/>
        <v>0</v>
      </c>
      <c r="CL29" s="134">
        <f t="shared" si="194"/>
        <v>0</v>
      </c>
      <c r="CM29" s="135">
        <f t="shared" si="46"/>
        <v>1</v>
      </c>
      <c r="CN29" s="135">
        <f t="shared" si="46"/>
        <v>1</v>
      </c>
      <c r="CO29" s="134">
        <f>'бюджет округа (района)'!AV29+'бюджеты поселений'!AV29</f>
        <v>0</v>
      </c>
      <c r="CP29" s="137">
        <f>'бюджет округа (района)'!AV29</f>
        <v>0</v>
      </c>
      <c r="CQ29" s="134">
        <f t="shared" si="195"/>
        <v>0</v>
      </c>
      <c r="CR29" s="134">
        <f t="shared" si="195"/>
        <v>0</v>
      </c>
      <c r="CS29" s="135">
        <f t="shared" si="48"/>
        <v>1</v>
      </c>
      <c r="CT29" s="135">
        <f t="shared" si="48"/>
        <v>1</v>
      </c>
      <c r="CU29" s="134">
        <f>'бюджет округа (района)'!AY29+'бюджеты поселений'!AY29</f>
        <v>0</v>
      </c>
      <c r="CV29" s="137">
        <f>'бюджет округа (района)'!AY29</f>
        <v>0</v>
      </c>
      <c r="CW29" s="134">
        <f t="shared" si="196"/>
        <v>0</v>
      </c>
      <c r="CX29" s="134">
        <f t="shared" si="196"/>
        <v>0</v>
      </c>
      <c r="CY29" s="135">
        <f t="shared" si="50"/>
        <v>1</v>
      </c>
      <c r="CZ29" s="135">
        <f t="shared" si="50"/>
        <v>1</v>
      </c>
      <c r="DA29" s="134">
        <f>'бюджет округа (района)'!BB29+'бюджеты поселений'!BB29</f>
        <v>0</v>
      </c>
      <c r="DB29" s="137">
        <f>'бюджет округа (района)'!BB29</f>
        <v>0</v>
      </c>
      <c r="DC29" s="134">
        <f t="shared" si="197"/>
        <v>0</v>
      </c>
      <c r="DD29" s="134">
        <f t="shared" si="197"/>
        <v>0</v>
      </c>
      <c r="DE29" s="135">
        <f t="shared" si="52"/>
        <v>1</v>
      </c>
      <c r="DF29" s="135">
        <f t="shared" si="52"/>
        <v>1</v>
      </c>
      <c r="DG29" s="134">
        <f>'бюджет округа (района)'!BE29+'бюджеты поселений'!BE29</f>
        <v>0</v>
      </c>
      <c r="DH29" s="137">
        <f>'бюджет округа (района)'!BE29</f>
        <v>0</v>
      </c>
      <c r="DI29" s="134">
        <f t="shared" si="198"/>
        <v>0</v>
      </c>
      <c r="DJ29" s="134">
        <f t="shared" si="198"/>
        <v>0</v>
      </c>
      <c r="DK29" s="135">
        <f t="shared" si="54"/>
        <v>1</v>
      </c>
      <c r="DL29" s="135">
        <f t="shared" si="54"/>
        <v>1</v>
      </c>
      <c r="DM29" s="134">
        <f>'бюджет округа (района)'!BH29+'бюджеты поселений'!BH29</f>
        <v>0</v>
      </c>
      <c r="DN29" s="137">
        <f>'бюджет округа (района)'!BH29</f>
        <v>0</v>
      </c>
      <c r="DO29" s="134">
        <f>'бюджет округа (района)'!BI29+'бюджеты поселений'!BI29</f>
        <v>0</v>
      </c>
      <c r="DP29" s="137">
        <f>'бюджет округа (района)'!BI29</f>
        <v>0</v>
      </c>
      <c r="DQ29" s="134">
        <f>'бюджет округа (района)'!BJ29+'бюджеты поселений'!BJ29</f>
        <v>0</v>
      </c>
      <c r="DR29" s="137">
        <f>'бюджет округа (района)'!BJ29</f>
        <v>0</v>
      </c>
      <c r="DS29" s="135">
        <f>IF($AY$29=0,1,DQ29/$AY$29-1)</f>
        <v>1</v>
      </c>
      <c r="DT29" s="135">
        <f>IF($AZ$29=0,1,DR29/$AZ$29-1)</f>
        <v>1</v>
      </c>
      <c r="DU29" s="135">
        <f t="shared" si="58"/>
        <v>1</v>
      </c>
      <c r="DV29" s="135">
        <f t="shared" si="59"/>
        <v>1</v>
      </c>
      <c r="DW29" s="167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236" t="s">
        <v>91</v>
      </c>
      <c r="B30" s="237"/>
      <c r="C30" s="134">
        <f>'бюджет округа (района)'!C30+'бюджеты поселений'!C30</f>
        <v>0</v>
      </c>
      <c r="D30" s="137">
        <f>'бюджет округа (района)'!C30</f>
        <v>0</v>
      </c>
      <c r="E30" s="134">
        <f t="shared" si="150"/>
        <v>0</v>
      </c>
      <c r="F30" s="137">
        <f t="shared" si="150"/>
        <v>0</v>
      </c>
      <c r="G30" s="134">
        <f>'бюджет округа (района)'!E30+'бюджеты поселений'!E30</f>
        <v>0</v>
      </c>
      <c r="H30" s="137">
        <f>'бюджет округа (района)'!E30</f>
        <v>0</v>
      </c>
      <c r="I30" s="134">
        <f>'бюджет округа (района)'!F30+'бюджеты поселений'!F30</f>
        <v>0</v>
      </c>
      <c r="J30" s="137">
        <f>'бюджет округа (района)'!F30</f>
        <v>0</v>
      </c>
      <c r="K30" s="134">
        <f t="shared" si="151"/>
        <v>0</v>
      </c>
      <c r="L30" s="134">
        <f t="shared" si="151"/>
        <v>0</v>
      </c>
      <c r="M30" s="134">
        <f>'бюджет округа (района)'!H30+'бюджеты поселений'!H30</f>
        <v>0</v>
      </c>
      <c r="N30" s="137">
        <f>'бюджет округа (района)'!H30</f>
        <v>0</v>
      </c>
      <c r="O30" s="134">
        <f t="shared" si="152"/>
        <v>0</v>
      </c>
      <c r="P30" s="134">
        <f t="shared" si="152"/>
        <v>0</v>
      </c>
      <c r="Q30" s="134">
        <f>'бюджет округа (района)'!J30+'бюджеты поселений'!J30</f>
        <v>0</v>
      </c>
      <c r="R30" s="137">
        <f>'бюджет округа (района)'!J30</f>
        <v>0</v>
      </c>
      <c r="S30" s="134">
        <f t="shared" si="153"/>
        <v>0</v>
      </c>
      <c r="T30" s="134">
        <f t="shared" si="153"/>
        <v>0</v>
      </c>
      <c r="U30" s="134">
        <f>'бюджет округа (района)'!L30+'бюджеты поселений'!L30</f>
        <v>0</v>
      </c>
      <c r="V30" s="137">
        <f>'бюджет округа (района)'!L30</f>
        <v>0</v>
      </c>
      <c r="W30" s="134">
        <f t="shared" si="154"/>
        <v>0</v>
      </c>
      <c r="X30" s="134">
        <f t="shared" si="154"/>
        <v>0</v>
      </c>
      <c r="Y30" s="134">
        <f>'бюджет округа (района)'!N30+'бюджеты поселений'!N30</f>
        <v>0</v>
      </c>
      <c r="Z30" s="137">
        <f>'бюджет округа (района)'!N30</f>
        <v>0</v>
      </c>
      <c r="AA30" s="134">
        <f t="shared" si="155"/>
        <v>0</v>
      </c>
      <c r="AB30" s="134">
        <f t="shared" si="155"/>
        <v>0</v>
      </c>
      <c r="AC30" s="134">
        <f>'бюджет округа (района)'!P30+'бюджеты поселений'!P30</f>
        <v>0</v>
      </c>
      <c r="AD30" s="137">
        <f>'бюджет округа (района)'!P30</f>
        <v>0</v>
      </c>
      <c r="AE30" s="134">
        <f t="shared" si="156"/>
        <v>0</v>
      </c>
      <c r="AF30" s="134">
        <f t="shared" si="156"/>
        <v>0</v>
      </c>
      <c r="AG30" s="134">
        <f>'бюджет округа (района)'!R30+'бюджеты поселений'!R30</f>
        <v>0</v>
      </c>
      <c r="AH30" s="137">
        <f>'бюджет округа (района)'!R30</f>
        <v>0</v>
      </c>
      <c r="AI30" s="134">
        <f t="shared" si="185"/>
        <v>0</v>
      </c>
      <c r="AJ30" s="134">
        <f t="shared" si="185"/>
        <v>0</v>
      </c>
      <c r="AK30" s="134">
        <f>'бюджет округа (района)'!T30+'бюджеты поселений'!T30</f>
        <v>0</v>
      </c>
      <c r="AL30" s="137">
        <f>'бюджет округа (района)'!T30</f>
        <v>0</v>
      </c>
      <c r="AM30" s="134">
        <f t="shared" si="186"/>
        <v>0</v>
      </c>
      <c r="AN30" s="134">
        <f t="shared" si="186"/>
        <v>0</v>
      </c>
      <c r="AO30" s="134">
        <f>'бюджет округа (района)'!V30+'бюджеты поселений'!V30</f>
        <v>0</v>
      </c>
      <c r="AP30" s="137">
        <f>'бюджет округа (района)'!V30</f>
        <v>0</v>
      </c>
      <c r="AQ30" s="134">
        <f t="shared" si="187"/>
        <v>0</v>
      </c>
      <c r="AR30" s="134">
        <f t="shared" si="187"/>
        <v>0</v>
      </c>
      <c r="AS30" s="134">
        <f>'бюджет округа (района)'!X30+'бюджеты поселений'!X30</f>
        <v>0</v>
      </c>
      <c r="AT30" s="137">
        <f>'бюджет округа (района)'!X30</f>
        <v>0</v>
      </c>
      <c r="AU30" s="134">
        <f t="shared" si="188"/>
        <v>0</v>
      </c>
      <c r="AV30" s="134">
        <f t="shared" si="188"/>
        <v>0</v>
      </c>
      <c r="AW30" s="134">
        <f>'бюджет округа (района)'!Z30+'бюджеты поселений'!Z30</f>
        <v>0</v>
      </c>
      <c r="AX30" s="137">
        <f>'бюджет округа (района)'!Z30</f>
        <v>0</v>
      </c>
      <c r="AY30" s="134">
        <f>'бюджет округа (района)'!AA30+'бюджеты поселений'!AA30</f>
        <v>0</v>
      </c>
      <c r="AZ30" s="137">
        <f>'бюджет округа (района)'!AA30</f>
        <v>0</v>
      </c>
      <c r="BA30" s="135">
        <f t="shared" si="173"/>
        <v>1</v>
      </c>
      <c r="BB30" s="135">
        <f t="shared" si="173"/>
        <v>1</v>
      </c>
      <c r="BC30" s="134">
        <f>'бюджет округа (района)'!AC30+'бюджеты поселений'!AC30</f>
        <v>0</v>
      </c>
      <c r="BD30" s="137">
        <f>'бюджет округа (района)'!AC30</f>
        <v>0</v>
      </c>
      <c r="BE30" s="134">
        <f>'бюджет округа (района)'!AD30+'бюджеты поселений'!AD30</f>
        <v>0</v>
      </c>
      <c r="BF30" s="137">
        <f>'бюджет округа (района)'!AD30</f>
        <v>0</v>
      </c>
      <c r="BG30" s="134">
        <f t="shared" si="189"/>
        <v>0</v>
      </c>
      <c r="BH30" s="134">
        <f t="shared" si="189"/>
        <v>0</v>
      </c>
      <c r="BI30" s="135">
        <f t="shared" si="36"/>
        <v>1</v>
      </c>
      <c r="BJ30" s="135">
        <f t="shared" si="36"/>
        <v>1</v>
      </c>
      <c r="BK30" s="134">
        <f>'бюджет округа (района)'!AG30+'бюджеты поселений'!AG30</f>
        <v>0</v>
      </c>
      <c r="BL30" s="137">
        <f>'бюджет округа (района)'!AG30</f>
        <v>0</v>
      </c>
      <c r="BM30" s="134">
        <f t="shared" si="190"/>
        <v>0</v>
      </c>
      <c r="BN30" s="134">
        <f t="shared" si="190"/>
        <v>0</v>
      </c>
      <c r="BO30" s="135">
        <f t="shared" si="38"/>
        <v>1</v>
      </c>
      <c r="BP30" s="135">
        <f t="shared" si="38"/>
        <v>1</v>
      </c>
      <c r="BQ30" s="134">
        <f>'бюджет округа (района)'!AJ30+'бюджеты поселений'!AJ30</f>
        <v>0</v>
      </c>
      <c r="BR30" s="137">
        <f>'бюджет округа (района)'!AJ30</f>
        <v>0</v>
      </c>
      <c r="BS30" s="134">
        <f t="shared" si="191"/>
        <v>0</v>
      </c>
      <c r="BT30" s="134">
        <f t="shared" si="191"/>
        <v>0</v>
      </c>
      <c r="BU30" s="135">
        <f t="shared" si="40"/>
        <v>1</v>
      </c>
      <c r="BV30" s="135">
        <f t="shared" si="40"/>
        <v>1</v>
      </c>
      <c r="BW30" s="134">
        <f>'бюджет округа (района)'!AM30+'бюджеты поселений'!AM30</f>
        <v>0</v>
      </c>
      <c r="BX30" s="137">
        <f>'бюджет округа (района)'!AM30</f>
        <v>0</v>
      </c>
      <c r="BY30" s="134">
        <f t="shared" si="192"/>
        <v>0</v>
      </c>
      <c r="BZ30" s="134">
        <f t="shared" si="192"/>
        <v>0</v>
      </c>
      <c r="CA30" s="135">
        <f t="shared" si="42"/>
        <v>1</v>
      </c>
      <c r="CB30" s="135">
        <f t="shared" si="42"/>
        <v>1</v>
      </c>
      <c r="CC30" s="134">
        <f>'бюджет округа (района)'!AP30+'бюджеты поселений'!AP30</f>
        <v>0</v>
      </c>
      <c r="CD30" s="137">
        <f>'бюджет округа (района)'!AP30</f>
        <v>0</v>
      </c>
      <c r="CE30" s="134">
        <f t="shared" si="193"/>
        <v>0</v>
      </c>
      <c r="CF30" s="134">
        <f t="shared" si="193"/>
        <v>0</v>
      </c>
      <c r="CG30" s="135">
        <f t="shared" si="44"/>
        <v>1</v>
      </c>
      <c r="CH30" s="135">
        <f t="shared" si="44"/>
        <v>1</v>
      </c>
      <c r="CI30" s="134">
        <f>'бюджет округа (района)'!AS30+'бюджеты поселений'!AS30</f>
        <v>0</v>
      </c>
      <c r="CJ30" s="137">
        <f>'бюджет округа (района)'!AS30</f>
        <v>0</v>
      </c>
      <c r="CK30" s="134">
        <f t="shared" si="194"/>
        <v>0</v>
      </c>
      <c r="CL30" s="134">
        <f t="shared" si="194"/>
        <v>0</v>
      </c>
      <c r="CM30" s="135">
        <f t="shared" si="46"/>
        <v>1</v>
      </c>
      <c r="CN30" s="135">
        <f t="shared" si="46"/>
        <v>1</v>
      </c>
      <c r="CO30" s="134">
        <f>'бюджет округа (района)'!AV30+'бюджеты поселений'!AV30</f>
        <v>0</v>
      </c>
      <c r="CP30" s="137">
        <f>'бюджет округа (района)'!AV30</f>
        <v>0</v>
      </c>
      <c r="CQ30" s="134">
        <f t="shared" si="195"/>
        <v>0</v>
      </c>
      <c r="CR30" s="134">
        <f t="shared" si="195"/>
        <v>0</v>
      </c>
      <c r="CS30" s="135">
        <f t="shared" si="48"/>
        <v>1</v>
      </c>
      <c r="CT30" s="135">
        <f t="shared" si="48"/>
        <v>1</v>
      </c>
      <c r="CU30" s="134">
        <f>'бюджет округа (района)'!AY30+'бюджеты поселений'!AY30</f>
        <v>0</v>
      </c>
      <c r="CV30" s="137">
        <f>'бюджет округа (района)'!AY30</f>
        <v>0</v>
      </c>
      <c r="CW30" s="134">
        <f t="shared" si="196"/>
        <v>0</v>
      </c>
      <c r="CX30" s="134">
        <f t="shared" si="196"/>
        <v>0</v>
      </c>
      <c r="CY30" s="135">
        <f t="shared" si="50"/>
        <v>1</v>
      </c>
      <c r="CZ30" s="135">
        <f t="shared" si="50"/>
        <v>1</v>
      </c>
      <c r="DA30" s="134">
        <f>'бюджет округа (района)'!BB30+'бюджеты поселений'!BB30</f>
        <v>0</v>
      </c>
      <c r="DB30" s="137">
        <f>'бюджет округа (района)'!BB30</f>
        <v>0</v>
      </c>
      <c r="DC30" s="134">
        <f t="shared" si="197"/>
        <v>0</v>
      </c>
      <c r="DD30" s="134">
        <f t="shared" si="197"/>
        <v>0</v>
      </c>
      <c r="DE30" s="135">
        <f t="shared" si="52"/>
        <v>1</v>
      </c>
      <c r="DF30" s="135">
        <f t="shared" si="52"/>
        <v>1</v>
      </c>
      <c r="DG30" s="134">
        <f>'бюджет округа (района)'!BE30+'бюджеты поселений'!BE30</f>
        <v>0</v>
      </c>
      <c r="DH30" s="137">
        <f>'бюджет округа (района)'!BE30</f>
        <v>0</v>
      </c>
      <c r="DI30" s="134">
        <f t="shared" si="198"/>
        <v>0</v>
      </c>
      <c r="DJ30" s="134">
        <f t="shared" si="198"/>
        <v>0</v>
      </c>
      <c r="DK30" s="135">
        <f t="shared" si="54"/>
        <v>1</v>
      </c>
      <c r="DL30" s="135">
        <f t="shared" si="54"/>
        <v>1</v>
      </c>
      <c r="DM30" s="134">
        <f>'бюджет округа (района)'!BH30+'бюджеты поселений'!BH30</f>
        <v>0</v>
      </c>
      <c r="DN30" s="137">
        <f>'бюджет округа (района)'!BH30</f>
        <v>0</v>
      </c>
      <c r="DO30" s="134">
        <f>'бюджет округа (района)'!BI30+'бюджеты поселений'!BI30</f>
        <v>0</v>
      </c>
      <c r="DP30" s="137">
        <f>'бюджет округа (района)'!BI30</f>
        <v>0</v>
      </c>
      <c r="DQ30" s="134">
        <f>'бюджет округа (района)'!BJ30+'бюджеты поселений'!BJ30</f>
        <v>0</v>
      </c>
      <c r="DR30" s="137">
        <f>'бюджет округа (района)'!BJ30</f>
        <v>0</v>
      </c>
      <c r="DS30" s="135">
        <f>IF($AY$30=0,1,DQ30/$AY$30-1)</f>
        <v>1</v>
      </c>
      <c r="DT30" s="135">
        <f>IF($AZ$30=0,1,DR30/$AZ$30-1)</f>
        <v>1</v>
      </c>
      <c r="DU30" s="135">
        <f t="shared" si="58"/>
        <v>1</v>
      </c>
      <c r="DV30" s="135">
        <f t="shared" si="59"/>
        <v>1</v>
      </c>
      <c r="DW30" s="167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236" t="s">
        <v>46</v>
      </c>
      <c r="B31" s="237"/>
      <c r="C31" s="134">
        <f>'бюджет округа (района)'!C31+'бюджеты поселений'!C31</f>
        <v>0</v>
      </c>
      <c r="D31" s="137">
        <f>'бюджет округа (района)'!C31</f>
        <v>0</v>
      </c>
      <c r="E31" s="134">
        <f t="shared" si="150"/>
        <v>0</v>
      </c>
      <c r="F31" s="137">
        <f t="shared" si="150"/>
        <v>0</v>
      </c>
      <c r="G31" s="134">
        <f>'бюджет округа (района)'!E31+'бюджеты поселений'!E31</f>
        <v>0</v>
      </c>
      <c r="H31" s="137">
        <f>'бюджет округа (района)'!E31</f>
        <v>0</v>
      </c>
      <c r="I31" s="134">
        <f>'бюджет округа (района)'!F31+'бюджеты поселений'!F31</f>
        <v>0</v>
      </c>
      <c r="J31" s="137">
        <f>'бюджет округа (района)'!F31</f>
        <v>0</v>
      </c>
      <c r="K31" s="134">
        <f t="shared" si="151"/>
        <v>0</v>
      </c>
      <c r="L31" s="134">
        <f t="shared" si="151"/>
        <v>0</v>
      </c>
      <c r="M31" s="134">
        <f>'бюджет округа (района)'!H31+'бюджеты поселений'!H31</f>
        <v>0</v>
      </c>
      <c r="N31" s="137">
        <f>'бюджет округа (района)'!H31</f>
        <v>0</v>
      </c>
      <c r="O31" s="134">
        <f t="shared" si="152"/>
        <v>0</v>
      </c>
      <c r="P31" s="134">
        <f t="shared" si="152"/>
        <v>0</v>
      </c>
      <c r="Q31" s="134">
        <f>'бюджет округа (района)'!J31+'бюджеты поселений'!J31</f>
        <v>0</v>
      </c>
      <c r="R31" s="137">
        <f>'бюджет округа (района)'!J31</f>
        <v>0</v>
      </c>
      <c r="S31" s="134">
        <f t="shared" si="153"/>
        <v>0</v>
      </c>
      <c r="T31" s="134">
        <f t="shared" si="153"/>
        <v>0</v>
      </c>
      <c r="U31" s="134">
        <f>'бюджет округа (района)'!L31+'бюджеты поселений'!L31</f>
        <v>0</v>
      </c>
      <c r="V31" s="137">
        <f>'бюджет округа (района)'!L31</f>
        <v>0</v>
      </c>
      <c r="W31" s="134">
        <f t="shared" si="154"/>
        <v>0</v>
      </c>
      <c r="X31" s="134">
        <f t="shared" si="154"/>
        <v>0</v>
      </c>
      <c r="Y31" s="134">
        <f>'бюджет округа (района)'!N31+'бюджеты поселений'!N31</f>
        <v>0</v>
      </c>
      <c r="Z31" s="137">
        <f>'бюджет округа (района)'!N31</f>
        <v>0</v>
      </c>
      <c r="AA31" s="134">
        <f t="shared" si="155"/>
        <v>0</v>
      </c>
      <c r="AB31" s="134">
        <f t="shared" si="155"/>
        <v>0</v>
      </c>
      <c r="AC31" s="134">
        <f>'бюджет округа (района)'!P31+'бюджеты поселений'!P31</f>
        <v>0</v>
      </c>
      <c r="AD31" s="137">
        <f>'бюджет округа (района)'!P31</f>
        <v>0</v>
      </c>
      <c r="AE31" s="134">
        <f t="shared" si="156"/>
        <v>0</v>
      </c>
      <c r="AF31" s="134">
        <f t="shared" si="156"/>
        <v>0</v>
      </c>
      <c r="AG31" s="134">
        <f>'бюджет округа (района)'!R31+'бюджеты поселений'!R31</f>
        <v>0</v>
      </c>
      <c r="AH31" s="137">
        <f>'бюджет округа (района)'!R31</f>
        <v>0</v>
      </c>
      <c r="AI31" s="134">
        <f t="shared" si="185"/>
        <v>0</v>
      </c>
      <c r="AJ31" s="134">
        <f t="shared" si="185"/>
        <v>0</v>
      </c>
      <c r="AK31" s="134">
        <f>'бюджет округа (района)'!T31+'бюджеты поселений'!T31</f>
        <v>0</v>
      </c>
      <c r="AL31" s="137">
        <f>'бюджет округа (района)'!T31</f>
        <v>0</v>
      </c>
      <c r="AM31" s="134">
        <f t="shared" si="186"/>
        <v>0</v>
      </c>
      <c r="AN31" s="134">
        <f t="shared" si="186"/>
        <v>0</v>
      </c>
      <c r="AO31" s="134">
        <f>'бюджет округа (района)'!V31+'бюджеты поселений'!V31</f>
        <v>0</v>
      </c>
      <c r="AP31" s="137">
        <f>'бюджет округа (района)'!V31</f>
        <v>0</v>
      </c>
      <c r="AQ31" s="134">
        <f t="shared" si="187"/>
        <v>0</v>
      </c>
      <c r="AR31" s="134">
        <f t="shared" si="187"/>
        <v>0</v>
      </c>
      <c r="AS31" s="134">
        <f>'бюджет округа (района)'!X31+'бюджеты поселений'!X31</f>
        <v>0</v>
      </c>
      <c r="AT31" s="137">
        <f>'бюджет округа (района)'!X31</f>
        <v>0</v>
      </c>
      <c r="AU31" s="134">
        <f t="shared" si="188"/>
        <v>0</v>
      </c>
      <c r="AV31" s="134">
        <f t="shared" si="188"/>
        <v>0</v>
      </c>
      <c r="AW31" s="134">
        <f>'бюджет округа (района)'!Z31+'бюджеты поселений'!Z31</f>
        <v>0</v>
      </c>
      <c r="AX31" s="137">
        <f>'бюджет округа (района)'!Z31</f>
        <v>0</v>
      </c>
      <c r="AY31" s="134">
        <f>'бюджет округа (района)'!AA31+'бюджеты поселений'!AA31</f>
        <v>0</v>
      </c>
      <c r="AZ31" s="137">
        <f>'бюджет округа (района)'!AA31</f>
        <v>0</v>
      </c>
      <c r="BA31" s="135">
        <f t="shared" si="173"/>
        <v>1</v>
      </c>
      <c r="BB31" s="135">
        <f t="shared" si="173"/>
        <v>1</v>
      </c>
      <c r="BC31" s="134">
        <f>'бюджет округа (района)'!AC31+'бюджеты поселений'!AC31</f>
        <v>0</v>
      </c>
      <c r="BD31" s="137">
        <f>'бюджет округа (района)'!AC31</f>
        <v>0</v>
      </c>
      <c r="BE31" s="134">
        <f>'бюджет округа (района)'!AD31+'бюджеты поселений'!AD31</f>
        <v>0</v>
      </c>
      <c r="BF31" s="137">
        <f>'бюджет округа (района)'!AD31</f>
        <v>0</v>
      </c>
      <c r="BG31" s="134">
        <f t="shared" si="189"/>
        <v>0</v>
      </c>
      <c r="BH31" s="134">
        <f t="shared" si="189"/>
        <v>0</v>
      </c>
      <c r="BI31" s="135">
        <f t="shared" si="36"/>
        <v>1</v>
      </c>
      <c r="BJ31" s="135">
        <f t="shared" si="36"/>
        <v>1</v>
      </c>
      <c r="BK31" s="134">
        <f>'бюджет округа (района)'!AG31+'бюджеты поселений'!AG31</f>
        <v>0</v>
      </c>
      <c r="BL31" s="137">
        <f>'бюджет округа (района)'!AG31</f>
        <v>0</v>
      </c>
      <c r="BM31" s="134">
        <f t="shared" si="190"/>
        <v>0</v>
      </c>
      <c r="BN31" s="134">
        <f t="shared" si="190"/>
        <v>0</v>
      </c>
      <c r="BO31" s="135">
        <f t="shared" si="38"/>
        <v>1</v>
      </c>
      <c r="BP31" s="135">
        <f t="shared" si="38"/>
        <v>1</v>
      </c>
      <c r="BQ31" s="134">
        <f>'бюджет округа (района)'!AJ31+'бюджеты поселений'!AJ31</f>
        <v>0</v>
      </c>
      <c r="BR31" s="137">
        <f>'бюджет округа (района)'!AJ31</f>
        <v>0</v>
      </c>
      <c r="BS31" s="134">
        <f t="shared" si="191"/>
        <v>0</v>
      </c>
      <c r="BT31" s="134">
        <f t="shared" si="191"/>
        <v>0</v>
      </c>
      <c r="BU31" s="135">
        <f t="shared" si="40"/>
        <v>1</v>
      </c>
      <c r="BV31" s="135">
        <f t="shared" si="40"/>
        <v>1</v>
      </c>
      <c r="BW31" s="134">
        <f>'бюджет округа (района)'!AM31+'бюджеты поселений'!AM31</f>
        <v>0</v>
      </c>
      <c r="BX31" s="137">
        <f>'бюджет округа (района)'!AM31</f>
        <v>0</v>
      </c>
      <c r="BY31" s="134">
        <f t="shared" si="192"/>
        <v>0</v>
      </c>
      <c r="BZ31" s="134">
        <f t="shared" si="192"/>
        <v>0</v>
      </c>
      <c r="CA31" s="135">
        <f t="shared" si="42"/>
        <v>1</v>
      </c>
      <c r="CB31" s="135">
        <f t="shared" si="42"/>
        <v>1</v>
      </c>
      <c r="CC31" s="134">
        <f>'бюджет округа (района)'!AP31+'бюджеты поселений'!AP31</f>
        <v>0</v>
      </c>
      <c r="CD31" s="137">
        <f>'бюджет округа (района)'!AP31</f>
        <v>0</v>
      </c>
      <c r="CE31" s="134">
        <f t="shared" si="193"/>
        <v>0</v>
      </c>
      <c r="CF31" s="134">
        <f t="shared" si="193"/>
        <v>0</v>
      </c>
      <c r="CG31" s="135">
        <f t="shared" si="44"/>
        <v>1</v>
      </c>
      <c r="CH31" s="135">
        <f t="shared" si="44"/>
        <v>1</v>
      </c>
      <c r="CI31" s="134">
        <f>'бюджет округа (района)'!AS31+'бюджеты поселений'!AS31</f>
        <v>0</v>
      </c>
      <c r="CJ31" s="137">
        <f>'бюджет округа (района)'!AS31</f>
        <v>0</v>
      </c>
      <c r="CK31" s="134">
        <f t="shared" si="194"/>
        <v>0</v>
      </c>
      <c r="CL31" s="134">
        <f t="shared" si="194"/>
        <v>0</v>
      </c>
      <c r="CM31" s="135">
        <f t="shared" si="46"/>
        <v>1</v>
      </c>
      <c r="CN31" s="135">
        <f t="shared" si="46"/>
        <v>1</v>
      </c>
      <c r="CO31" s="134">
        <f>'бюджет округа (района)'!AV31+'бюджеты поселений'!AV31</f>
        <v>0</v>
      </c>
      <c r="CP31" s="137">
        <f>'бюджет округа (района)'!AV31</f>
        <v>0</v>
      </c>
      <c r="CQ31" s="134">
        <f t="shared" si="195"/>
        <v>0</v>
      </c>
      <c r="CR31" s="134">
        <f t="shared" si="195"/>
        <v>0</v>
      </c>
      <c r="CS31" s="135">
        <f t="shared" si="48"/>
        <v>1</v>
      </c>
      <c r="CT31" s="135">
        <f t="shared" si="48"/>
        <v>1</v>
      </c>
      <c r="CU31" s="134">
        <f>'бюджет округа (района)'!AY31+'бюджеты поселений'!AY31</f>
        <v>0</v>
      </c>
      <c r="CV31" s="137">
        <f>'бюджет округа (района)'!AY31</f>
        <v>0</v>
      </c>
      <c r="CW31" s="134">
        <f t="shared" si="196"/>
        <v>0</v>
      </c>
      <c r="CX31" s="134">
        <f t="shared" si="196"/>
        <v>0</v>
      </c>
      <c r="CY31" s="135">
        <f t="shared" si="50"/>
        <v>1</v>
      </c>
      <c r="CZ31" s="135">
        <f t="shared" si="50"/>
        <v>1</v>
      </c>
      <c r="DA31" s="134">
        <f>'бюджет округа (района)'!BB31+'бюджеты поселений'!BB31</f>
        <v>0</v>
      </c>
      <c r="DB31" s="137">
        <f>'бюджет округа (района)'!BB31</f>
        <v>0</v>
      </c>
      <c r="DC31" s="134">
        <f t="shared" si="197"/>
        <v>0</v>
      </c>
      <c r="DD31" s="134">
        <f t="shared" si="197"/>
        <v>0</v>
      </c>
      <c r="DE31" s="135">
        <f t="shared" si="52"/>
        <v>1</v>
      </c>
      <c r="DF31" s="135">
        <f t="shared" si="52"/>
        <v>1</v>
      </c>
      <c r="DG31" s="134">
        <f>'бюджет округа (района)'!BE31+'бюджеты поселений'!BE31</f>
        <v>0</v>
      </c>
      <c r="DH31" s="137">
        <f>'бюджет округа (района)'!BE31</f>
        <v>0</v>
      </c>
      <c r="DI31" s="134">
        <f t="shared" si="198"/>
        <v>0</v>
      </c>
      <c r="DJ31" s="134">
        <f t="shared" si="198"/>
        <v>0</v>
      </c>
      <c r="DK31" s="135">
        <f t="shared" si="54"/>
        <v>1</v>
      </c>
      <c r="DL31" s="135">
        <f t="shared" si="54"/>
        <v>1</v>
      </c>
      <c r="DM31" s="134">
        <f>'бюджет округа (района)'!BH31+'бюджеты поселений'!BH31</f>
        <v>0</v>
      </c>
      <c r="DN31" s="137">
        <f>'бюджет округа (района)'!BH31</f>
        <v>0</v>
      </c>
      <c r="DO31" s="134">
        <f>'бюджет округа (района)'!BI31+'бюджеты поселений'!BI31</f>
        <v>0</v>
      </c>
      <c r="DP31" s="137">
        <f>'бюджет округа (района)'!BI31</f>
        <v>0</v>
      </c>
      <c r="DQ31" s="134">
        <f>'бюджет округа (района)'!BJ31+'бюджеты поселений'!BJ31</f>
        <v>0</v>
      </c>
      <c r="DR31" s="137">
        <f>'бюджет округа (района)'!BJ31</f>
        <v>0</v>
      </c>
      <c r="DS31" s="135">
        <f>IF($AY$31=0,1,DQ31/$AY$31-1)</f>
        <v>1</v>
      </c>
      <c r="DT31" s="135">
        <f>IF($AZ$31=0,1,DR31/$AZ$31-1)</f>
        <v>1</v>
      </c>
      <c r="DU31" s="135">
        <f t="shared" si="58"/>
        <v>1</v>
      </c>
      <c r="DV31" s="135">
        <f t="shared" si="59"/>
        <v>1</v>
      </c>
      <c r="DW31" s="167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4" customFormat="1" ht="18" customHeight="1">
      <c r="A32" s="236" t="s">
        <v>92</v>
      </c>
      <c r="B32" s="237"/>
      <c r="C32" s="134">
        <f>'бюджет округа (района)'!C32+'бюджеты поселений'!C32</f>
        <v>0</v>
      </c>
      <c r="D32" s="137">
        <f>'бюджет округа (района)'!C32</f>
        <v>0</v>
      </c>
      <c r="E32" s="134">
        <f t="shared" si="150"/>
        <v>0</v>
      </c>
      <c r="F32" s="137">
        <f t="shared" si="150"/>
        <v>0</v>
      </c>
      <c r="G32" s="134">
        <f>'бюджет округа (района)'!E32+'бюджеты поселений'!E32</f>
        <v>0</v>
      </c>
      <c r="H32" s="137">
        <f>'бюджет округа (района)'!E32</f>
        <v>0</v>
      </c>
      <c r="I32" s="134">
        <f>'бюджет округа (района)'!F32+'бюджеты поселений'!F32</f>
        <v>0</v>
      </c>
      <c r="J32" s="137">
        <f>'бюджет округа (района)'!F32</f>
        <v>0</v>
      </c>
      <c r="K32" s="134">
        <f t="shared" si="151"/>
        <v>0</v>
      </c>
      <c r="L32" s="134">
        <f t="shared" si="151"/>
        <v>0</v>
      </c>
      <c r="M32" s="134">
        <f>'бюджет округа (района)'!H32+'бюджеты поселений'!H32</f>
        <v>0</v>
      </c>
      <c r="N32" s="137">
        <f>'бюджет округа (района)'!H32</f>
        <v>0</v>
      </c>
      <c r="O32" s="134">
        <f t="shared" si="152"/>
        <v>0</v>
      </c>
      <c r="P32" s="134">
        <f t="shared" si="152"/>
        <v>0</v>
      </c>
      <c r="Q32" s="134">
        <f>'бюджет округа (района)'!J32+'бюджеты поселений'!J32</f>
        <v>0</v>
      </c>
      <c r="R32" s="137">
        <f>'бюджет округа (района)'!J32</f>
        <v>0</v>
      </c>
      <c r="S32" s="134">
        <f t="shared" si="153"/>
        <v>0</v>
      </c>
      <c r="T32" s="134">
        <f t="shared" si="153"/>
        <v>0</v>
      </c>
      <c r="U32" s="134">
        <f>'бюджет округа (района)'!L32+'бюджеты поселений'!L32</f>
        <v>0</v>
      </c>
      <c r="V32" s="137">
        <f>'бюджет округа (района)'!L32</f>
        <v>0</v>
      </c>
      <c r="W32" s="134">
        <f t="shared" si="154"/>
        <v>0</v>
      </c>
      <c r="X32" s="134">
        <f t="shared" si="154"/>
        <v>0</v>
      </c>
      <c r="Y32" s="134">
        <f>'бюджет округа (района)'!N32+'бюджеты поселений'!N32</f>
        <v>0</v>
      </c>
      <c r="Z32" s="137">
        <f>'бюджет округа (района)'!N32</f>
        <v>0</v>
      </c>
      <c r="AA32" s="134">
        <f t="shared" si="155"/>
        <v>0</v>
      </c>
      <c r="AB32" s="134">
        <f t="shared" si="155"/>
        <v>0</v>
      </c>
      <c r="AC32" s="134">
        <f>'бюджет округа (района)'!P32+'бюджеты поселений'!P32</f>
        <v>0</v>
      </c>
      <c r="AD32" s="137">
        <f>'бюджет округа (района)'!P32</f>
        <v>0</v>
      </c>
      <c r="AE32" s="134">
        <f t="shared" si="156"/>
        <v>0</v>
      </c>
      <c r="AF32" s="134">
        <f t="shared" si="156"/>
        <v>0</v>
      </c>
      <c r="AG32" s="134">
        <f>'бюджет округа (района)'!R32+'бюджеты поселений'!R32</f>
        <v>0</v>
      </c>
      <c r="AH32" s="137">
        <f>'бюджет округа (района)'!R32</f>
        <v>0</v>
      </c>
      <c r="AI32" s="134">
        <f t="shared" si="185"/>
        <v>0</v>
      </c>
      <c r="AJ32" s="134">
        <f t="shared" si="185"/>
        <v>0</v>
      </c>
      <c r="AK32" s="134">
        <f>'бюджет округа (района)'!T32+'бюджеты поселений'!T32</f>
        <v>0</v>
      </c>
      <c r="AL32" s="137">
        <f>'бюджет округа (района)'!T32</f>
        <v>0</v>
      </c>
      <c r="AM32" s="134">
        <f t="shared" si="186"/>
        <v>0</v>
      </c>
      <c r="AN32" s="134">
        <f t="shared" si="186"/>
        <v>0</v>
      </c>
      <c r="AO32" s="134">
        <f>'бюджет округа (района)'!V32+'бюджеты поселений'!V32</f>
        <v>0</v>
      </c>
      <c r="AP32" s="137">
        <f>'бюджет округа (района)'!V32</f>
        <v>0</v>
      </c>
      <c r="AQ32" s="134">
        <f t="shared" si="187"/>
        <v>0</v>
      </c>
      <c r="AR32" s="134">
        <f t="shared" si="187"/>
        <v>0</v>
      </c>
      <c r="AS32" s="134">
        <f>'бюджет округа (района)'!X32+'бюджеты поселений'!X32</f>
        <v>0</v>
      </c>
      <c r="AT32" s="137">
        <f>'бюджет округа (района)'!X32</f>
        <v>0</v>
      </c>
      <c r="AU32" s="134">
        <f t="shared" si="188"/>
        <v>0</v>
      </c>
      <c r="AV32" s="134">
        <f t="shared" si="188"/>
        <v>0</v>
      </c>
      <c r="AW32" s="134">
        <f>'бюджет округа (района)'!Z32+'бюджеты поселений'!Z32</f>
        <v>0</v>
      </c>
      <c r="AX32" s="137">
        <f>'бюджет округа (района)'!Z32</f>
        <v>0</v>
      </c>
      <c r="AY32" s="134">
        <f>'бюджет округа (района)'!AA32+'бюджеты поселений'!AA32</f>
        <v>0</v>
      </c>
      <c r="AZ32" s="137">
        <f>'бюджет округа (района)'!AA32</f>
        <v>0</v>
      </c>
      <c r="BA32" s="135">
        <f t="shared" si="173"/>
        <v>1</v>
      </c>
      <c r="BB32" s="135">
        <f t="shared" si="173"/>
        <v>1</v>
      </c>
      <c r="BC32" s="134">
        <f>'бюджет округа (района)'!AC32+'бюджеты поселений'!AC32</f>
        <v>0</v>
      </c>
      <c r="BD32" s="137">
        <f>'бюджет округа (района)'!AC32</f>
        <v>0</v>
      </c>
      <c r="BE32" s="134">
        <f>'бюджет округа (района)'!AD32+'бюджеты поселений'!AD32</f>
        <v>0</v>
      </c>
      <c r="BF32" s="137">
        <f>'бюджет округа (района)'!AD32</f>
        <v>0</v>
      </c>
      <c r="BG32" s="134">
        <f t="shared" si="189"/>
        <v>0</v>
      </c>
      <c r="BH32" s="134">
        <f t="shared" si="189"/>
        <v>0</v>
      </c>
      <c r="BI32" s="135">
        <f t="shared" si="36"/>
        <v>1</v>
      </c>
      <c r="BJ32" s="135">
        <f t="shared" si="36"/>
        <v>1</v>
      </c>
      <c r="BK32" s="134">
        <f>'бюджет округа (района)'!AG32+'бюджеты поселений'!AG32</f>
        <v>0</v>
      </c>
      <c r="BL32" s="137">
        <f>'бюджет округа (района)'!AG32</f>
        <v>0</v>
      </c>
      <c r="BM32" s="134">
        <f t="shared" si="190"/>
        <v>0</v>
      </c>
      <c r="BN32" s="134">
        <f t="shared" si="190"/>
        <v>0</v>
      </c>
      <c r="BO32" s="135">
        <f t="shared" si="38"/>
        <v>1</v>
      </c>
      <c r="BP32" s="135">
        <f t="shared" si="38"/>
        <v>1</v>
      </c>
      <c r="BQ32" s="134">
        <f>'бюджет округа (района)'!AJ32+'бюджеты поселений'!AJ32</f>
        <v>0</v>
      </c>
      <c r="BR32" s="137">
        <f>'бюджет округа (района)'!AJ32</f>
        <v>0</v>
      </c>
      <c r="BS32" s="134">
        <f t="shared" si="191"/>
        <v>0</v>
      </c>
      <c r="BT32" s="134">
        <f t="shared" si="191"/>
        <v>0</v>
      </c>
      <c r="BU32" s="135">
        <f t="shared" si="40"/>
        <v>1</v>
      </c>
      <c r="BV32" s="135">
        <f t="shared" si="40"/>
        <v>1</v>
      </c>
      <c r="BW32" s="134">
        <f>'бюджет округа (района)'!AM32+'бюджеты поселений'!AM32</f>
        <v>0</v>
      </c>
      <c r="BX32" s="137">
        <f>'бюджет округа (района)'!AM32</f>
        <v>0</v>
      </c>
      <c r="BY32" s="134">
        <f t="shared" si="192"/>
        <v>0</v>
      </c>
      <c r="BZ32" s="134">
        <f t="shared" si="192"/>
        <v>0</v>
      </c>
      <c r="CA32" s="135">
        <f t="shared" si="42"/>
        <v>1</v>
      </c>
      <c r="CB32" s="135">
        <f t="shared" si="42"/>
        <v>1</v>
      </c>
      <c r="CC32" s="134">
        <f>'бюджет округа (района)'!AP32+'бюджеты поселений'!AP32</f>
        <v>0</v>
      </c>
      <c r="CD32" s="137">
        <f>'бюджет округа (района)'!AP32</f>
        <v>0</v>
      </c>
      <c r="CE32" s="134">
        <f t="shared" si="193"/>
        <v>0</v>
      </c>
      <c r="CF32" s="134">
        <f t="shared" si="193"/>
        <v>0</v>
      </c>
      <c r="CG32" s="135">
        <f t="shared" si="44"/>
        <v>1</v>
      </c>
      <c r="CH32" s="135">
        <f t="shared" si="44"/>
        <v>1</v>
      </c>
      <c r="CI32" s="134">
        <f>'бюджет округа (района)'!AS32+'бюджеты поселений'!AS32</f>
        <v>0</v>
      </c>
      <c r="CJ32" s="137">
        <f>'бюджет округа (района)'!AS32</f>
        <v>0</v>
      </c>
      <c r="CK32" s="134">
        <f t="shared" si="194"/>
        <v>0</v>
      </c>
      <c r="CL32" s="134">
        <f t="shared" si="194"/>
        <v>0</v>
      </c>
      <c r="CM32" s="135">
        <f t="shared" si="46"/>
        <v>1</v>
      </c>
      <c r="CN32" s="135">
        <f t="shared" si="46"/>
        <v>1</v>
      </c>
      <c r="CO32" s="134">
        <f>'бюджет округа (района)'!AV32+'бюджеты поселений'!AV32</f>
        <v>0</v>
      </c>
      <c r="CP32" s="137">
        <f>'бюджет округа (района)'!AV32</f>
        <v>0</v>
      </c>
      <c r="CQ32" s="134">
        <f t="shared" si="195"/>
        <v>0</v>
      </c>
      <c r="CR32" s="134">
        <f t="shared" si="195"/>
        <v>0</v>
      </c>
      <c r="CS32" s="135">
        <f t="shared" si="48"/>
        <v>1</v>
      </c>
      <c r="CT32" s="135">
        <f t="shared" si="48"/>
        <v>1</v>
      </c>
      <c r="CU32" s="134">
        <f>'бюджет округа (района)'!AY32+'бюджеты поселений'!AY32</f>
        <v>0</v>
      </c>
      <c r="CV32" s="137">
        <f>'бюджет округа (района)'!AY32</f>
        <v>0</v>
      </c>
      <c r="CW32" s="134">
        <f t="shared" si="196"/>
        <v>0</v>
      </c>
      <c r="CX32" s="134">
        <f t="shared" si="196"/>
        <v>0</v>
      </c>
      <c r="CY32" s="135">
        <f t="shared" si="50"/>
        <v>1</v>
      </c>
      <c r="CZ32" s="135">
        <f t="shared" si="50"/>
        <v>1</v>
      </c>
      <c r="DA32" s="134">
        <f>'бюджет округа (района)'!BB32+'бюджеты поселений'!BB32</f>
        <v>0</v>
      </c>
      <c r="DB32" s="137">
        <f>'бюджет округа (района)'!BB32</f>
        <v>0</v>
      </c>
      <c r="DC32" s="134">
        <f t="shared" si="197"/>
        <v>0</v>
      </c>
      <c r="DD32" s="134">
        <f t="shared" si="197"/>
        <v>0</v>
      </c>
      <c r="DE32" s="135">
        <f t="shared" si="52"/>
        <v>1</v>
      </c>
      <c r="DF32" s="135">
        <f t="shared" si="52"/>
        <v>1</v>
      </c>
      <c r="DG32" s="134">
        <f>'бюджет округа (района)'!BE32+'бюджеты поселений'!BE32</f>
        <v>0</v>
      </c>
      <c r="DH32" s="137">
        <f>'бюджет округа (района)'!BE32</f>
        <v>0</v>
      </c>
      <c r="DI32" s="134">
        <f t="shared" si="198"/>
        <v>0</v>
      </c>
      <c r="DJ32" s="134">
        <f t="shared" si="198"/>
        <v>0</v>
      </c>
      <c r="DK32" s="135">
        <f t="shared" si="54"/>
        <v>1</v>
      </c>
      <c r="DL32" s="135">
        <f t="shared" si="54"/>
        <v>1</v>
      </c>
      <c r="DM32" s="134">
        <f>'бюджет округа (района)'!BH32+'бюджеты поселений'!BH32</f>
        <v>0</v>
      </c>
      <c r="DN32" s="137">
        <f>'бюджет округа (района)'!BH32</f>
        <v>0</v>
      </c>
      <c r="DO32" s="134">
        <f>'бюджет округа (района)'!BI32+'бюджеты поселений'!BI32</f>
        <v>0</v>
      </c>
      <c r="DP32" s="137">
        <f>'бюджет округа (района)'!BI32</f>
        <v>0</v>
      </c>
      <c r="DQ32" s="134">
        <f>'бюджет округа (района)'!BJ32+'бюджеты поселений'!BJ32</f>
        <v>0</v>
      </c>
      <c r="DR32" s="137">
        <f>'бюджет округа (района)'!BJ32</f>
        <v>0</v>
      </c>
      <c r="DS32" s="135">
        <f>IF($AY$32=0,1,DQ32/$AY$32-1)</f>
        <v>1</v>
      </c>
      <c r="DT32" s="135">
        <f>IF($AZ$32=0,1,DR32/$AZ$32-1)</f>
        <v>1</v>
      </c>
      <c r="DU32" s="135">
        <f t="shared" si="58"/>
        <v>1</v>
      </c>
      <c r="DV32" s="135">
        <f t="shared" si="59"/>
        <v>1</v>
      </c>
      <c r="DW32" s="167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</row>
    <row r="33" spans="1:268" s="66" customFormat="1" ht="18" customHeight="1">
      <c r="A33" s="236" t="s">
        <v>142</v>
      </c>
      <c r="B33" s="237"/>
      <c r="C33" s="134">
        <f>'бюджет округа (района)'!C33+'бюджеты поселений'!C33</f>
        <v>0</v>
      </c>
      <c r="D33" s="137">
        <f>'бюджет округа (района)'!C33</f>
        <v>0</v>
      </c>
      <c r="E33" s="134">
        <f>G33+I33+M33+Q33+U33+Y33+AC33+AG33+AK33+AO33+AS33+AW33</f>
        <v>0</v>
      </c>
      <c r="F33" s="137">
        <f t="shared" si="150"/>
        <v>0</v>
      </c>
      <c r="G33" s="134">
        <f>'бюджет округа (района)'!E33+'бюджеты поселений'!E33</f>
        <v>0</v>
      </c>
      <c r="H33" s="137">
        <f>'бюджет округа (района)'!E33</f>
        <v>0</v>
      </c>
      <c r="I33" s="134">
        <f>'бюджет округа (района)'!F33+'бюджеты поселений'!F33</f>
        <v>0</v>
      </c>
      <c r="J33" s="137">
        <f>'бюджет округа (района)'!F33</f>
        <v>0</v>
      </c>
      <c r="K33" s="134">
        <f t="shared" si="151"/>
        <v>0</v>
      </c>
      <c r="L33" s="134">
        <f t="shared" si="151"/>
        <v>0</v>
      </c>
      <c r="M33" s="134">
        <f>'бюджет округа (района)'!H33+'бюджеты поселений'!H33</f>
        <v>0</v>
      </c>
      <c r="N33" s="137">
        <f>'бюджет округа (района)'!H33</f>
        <v>0</v>
      </c>
      <c r="O33" s="134">
        <f t="shared" si="152"/>
        <v>0</v>
      </c>
      <c r="P33" s="134">
        <f t="shared" si="152"/>
        <v>0</v>
      </c>
      <c r="Q33" s="134">
        <f>'бюджет округа (района)'!J33+'бюджеты поселений'!J33</f>
        <v>0</v>
      </c>
      <c r="R33" s="137">
        <f>'бюджет округа (района)'!J33</f>
        <v>0</v>
      </c>
      <c r="S33" s="134">
        <f t="shared" si="153"/>
        <v>0</v>
      </c>
      <c r="T33" s="134">
        <f t="shared" si="153"/>
        <v>0</v>
      </c>
      <c r="U33" s="134">
        <f>'бюджет округа (района)'!L33+'бюджеты поселений'!L33</f>
        <v>0</v>
      </c>
      <c r="V33" s="137">
        <f>'бюджет округа (района)'!L33</f>
        <v>0</v>
      </c>
      <c r="W33" s="134">
        <f t="shared" si="154"/>
        <v>0</v>
      </c>
      <c r="X33" s="134">
        <f t="shared" si="154"/>
        <v>0</v>
      </c>
      <c r="Y33" s="134">
        <f>'бюджет округа (района)'!N33+'бюджеты поселений'!N33</f>
        <v>0</v>
      </c>
      <c r="Z33" s="137">
        <f>'бюджет округа (района)'!N33</f>
        <v>0</v>
      </c>
      <c r="AA33" s="134">
        <f t="shared" si="155"/>
        <v>0</v>
      </c>
      <c r="AB33" s="134">
        <f t="shared" si="155"/>
        <v>0</v>
      </c>
      <c r="AC33" s="134">
        <f>'бюджет округа (района)'!P33+'бюджеты поселений'!P33</f>
        <v>0</v>
      </c>
      <c r="AD33" s="137">
        <f>'бюджет округа (района)'!P33</f>
        <v>0</v>
      </c>
      <c r="AE33" s="134">
        <f t="shared" si="156"/>
        <v>0</v>
      </c>
      <c r="AF33" s="134">
        <f t="shared" si="156"/>
        <v>0</v>
      </c>
      <c r="AG33" s="134">
        <f>'бюджет округа (района)'!R33+'бюджеты поселений'!R33</f>
        <v>0</v>
      </c>
      <c r="AH33" s="137">
        <f>'бюджет округа (района)'!R33</f>
        <v>0</v>
      </c>
      <c r="AI33" s="134">
        <f t="shared" si="185"/>
        <v>0</v>
      </c>
      <c r="AJ33" s="134">
        <f t="shared" si="185"/>
        <v>0</v>
      </c>
      <c r="AK33" s="134">
        <f>'бюджет округа (района)'!T33+'бюджеты поселений'!T33</f>
        <v>0</v>
      </c>
      <c r="AL33" s="137">
        <f>'бюджет округа (района)'!T33</f>
        <v>0</v>
      </c>
      <c r="AM33" s="134">
        <f t="shared" si="186"/>
        <v>0</v>
      </c>
      <c r="AN33" s="134">
        <f t="shared" si="186"/>
        <v>0</v>
      </c>
      <c r="AO33" s="134">
        <f>'бюджет округа (района)'!V33+'бюджеты поселений'!V33</f>
        <v>0</v>
      </c>
      <c r="AP33" s="137">
        <f>'бюджет округа (района)'!V33</f>
        <v>0</v>
      </c>
      <c r="AQ33" s="134">
        <f t="shared" si="187"/>
        <v>0</v>
      </c>
      <c r="AR33" s="134">
        <f t="shared" si="187"/>
        <v>0</v>
      </c>
      <c r="AS33" s="134">
        <f>'бюджет округа (района)'!X33+'бюджеты поселений'!X33</f>
        <v>0</v>
      </c>
      <c r="AT33" s="137">
        <f>'бюджет округа (района)'!X33</f>
        <v>0</v>
      </c>
      <c r="AU33" s="134">
        <f t="shared" si="188"/>
        <v>0</v>
      </c>
      <c r="AV33" s="134">
        <f t="shared" si="188"/>
        <v>0</v>
      </c>
      <c r="AW33" s="134">
        <f>'бюджет округа (района)'!Z33+'бюджеты поселений'!Z33</f>
        <v>0</v>
      </c>
      <c r="AX33" s="137">
        <f>'бюджет округа (района)'!Z33</f>
        <v>0</v>
      </c>
      <c r="AY33" s="134">
        <f>'бюджет округа (района)'!AA33+'бюджеты поселений'!AA33</f>
        <v>0</v>
      </c>
      <c r="AZ33" s="137">
        <f>'бюджет округа (района)'!AA33</f>
        <v>0</v>
      </c>
      <c r="BA33" s="135">
        <f t="shared" si="173"/>
        <v>1</v>
      </c>
      <c r="BB33" s="135">
        <f t="shared" si="173"/>
        <v>1</v>
      </c>
      <c r="BC33" s="134">
        <f>'бюджет округа (района)'!AC33+'бюджеты поселений'!AC33</f>
        <v>0</v>
      </c>
      <c r="BD33" s="137">
        <f>'бюджет округа (района)'!AC33</f>
        <v>0</v>
      </c>
      <c r="BE33" s="134">
        <f>'бюджет округа (района)'!AD33+'бюджеты поселений'!AD33</f>
        <v>0</v>
      </c>
      <c r="BF33" s="137">
        <f>'бюджет округа (района)'!AD33</f>
        <v>0</v>
      </c>
      <c r="BG33" s="134">
        <f t="shared" si="189"/>
        <v>0</v>
      </c>
      <c r="BH33" s="134">
        <f t="shared" si="189"/>
        <v>0</v>
      </c>
      <c r="BI33" s="135">
        <f t="shared" si="36"/>
        <v>1</v>
      </c>
      <c r="BJ33" s="135">
        <f t="shared" si="36"/>
        <v>1</v>
      </c>
      <c r="BK33" s="134">
        <f>'бюджет округа (района)'!AG33+'бюджеты поселений'!AG33</f>
        <v>0</v>
      </c>
      <c r="BL33" s="137">
        <f>'бюджет округа (района)'!AG33</f>
        <v>0</v>
      </c>
      <c r="BM33" s="134">
        <f t="shared" si="190"/>
        <v>0</v>
      </c>
      <c r="BN33" s="134">
        <f t="shared" si="190"/>
        <v>0</v>
      </c>
      <c r="BO33" s="135">
        <f t="shared" si="38"/>
        <v>1</v>
      </c>
      <c r="BP33" s="135">
        <f t="shared" si="38"/>
        <v>1</v>
      </c>
      <c r="BQ33" s="134">
        <f>'бюджет округа (района)'!AJ33+'бюджеты поселений'!AJ33</f>
        <v>0</v>
      </c>
      <c r="BR33" s="137">
        <f>'бюджет округа (района)'!AJ33</f>
        <v>0</v>
      </c>
      <c r="BS33" s="134">
        <f t="shared" si="191"/>
        <v>0</v>
      </c>
      <c r="BT33" s="134">
        <f t="shared" si="191"/>
        <v>0</v>
      </c>
      <c r="BU33" s="135">
        <f t="shared" si="40"/>
        <v>1</v>
      </c>
      <c r="BV33" s="135">
        <f t="shared" si="40"/>
        <v>1</v>
      </c>
      <c r="BW33" s="134">
        <f>'бюджет округа (района)'!AM33+'бюджеты поселений'!AM33</f>
        <v>0</v>
      </c>
      <c r="BX33" s="137">
        <f>'бюджет округа (района)'!AM33</f>
        <v>0</v>
      </c>
      <c r="BY33" s="134">
        <f t="shared" si="192"/>
        <v>0</v>
      </c>
      <c r="BZ33" s="134">
        <f t="shared" si="192"/>
        <v>0</v>
      </c>
      <c r="CA33" s="135">
        <f t="shared" si="42"/>
        <v>1</v>
      </c>
      <c r="CB33" s="135">
        <f t="shared" si="42"/>
        <v>1</v>
      </c>
      <c r="CC33" s="134">
        <f>'бюджет округа (района)'!AP33+'бюджеты поселений'!AP33</f>
        <v>0</v>
      </c>
      <c r="CD33" s="137">
        <f>'бюджет округа (района)'!AP33</f>
        <v>0</v>
      </c>
      <c r="CE33" s="134">
        <f t="shared" si="193"/>
        <v>0</v>
      </c>
      <c r="CF33" s="134">
        <f t="shared" si="193"/>
        <v>0</v>
      </c>
      <c r="CG33" s="135">
        <f t="shared" si="44"/>
        <v>1</v>
      </c>
      <c r="CH33" s="135">
        <f t="shared" si="44"/>
        <v>1</v>
      </c>
      <c r="CI33" s="134">
        <f>'бюджет округа (района)'!AS33+'бюджеты поселений'!AS33</f>
        <v>0</v>
      </c>
      <c r="CJ33" s="137">
        <f>'бюджет округа (района)'!AS33</f>
        <v>0</v>
      </c>
      <c r="CK33" s="134">
        <f t="shared" si="194"/>
        <v>0</v>
      </c>
      <c r="CL33" s="134">
        <f t="shared" si="194"/>
        <v>0</v>
      </c>
      <c r="CM33" s="135">
        <f t="shared" si="46"/>
        <v>1</v>
      </c>
      <c r="CN33" s="135">
        <f t="shared" si="46"/>
        <v>1</v>
      </c>
      <c r="CO33" s="134">
        <f>'бюджет округа (района)'!AV33+'бюджеты поселений'!AV33</f>
        <v>0</v>
      </c>
      <c r="CP33" s="137">
        <f>'бюджет округа (района)'!AV33</f>
        <v>0</v>
      </c>
      <c r="CQ33" s="134">
        <f t="shared" si="195"/>
        <v>0</v>
      </c>
      <c r="CR33" s="134">
        <f t="shared" si="195"/>
        <v>0</v>
      </c>
      <c r="CS33" s="135">
        <f t="shared" si="48"/>
        <v>1</v>
      </c>
      <c r="CT33" s="135">
        <f t="shared" si="48"/>
        <v>1</v>
      </c>
      <c r="CU33" s="134">
        <f>'бюджет округа (района)'!AY33+'бюджеты поселений'!AY33</f>
        <v>0</v>
      </c>
      <c r="CV33" s="137">
        <f>'бюджет округа (района)'!AY33</f>
        <v>0</v>
      </c>
      <c r="CW33" s="134">
        <f t="shared" si="196"/>
        <v>0</v>
      </c>
      <c r="CX33" s="134">
        <f t="shared" si="196"/>
        <v>0</v>
      </c>
      <c r="CY33" s="135">
        <f t="shared" si="50"/>
        <v>1</v>
      </c>
      <c r="CZ33" s="135">
        <f t="shared" si="50"/>
        <v>1</v>
      </c>
      <c r="DA33" s="134">
        <f>'бюджет округа (района)'!BB33+'бюджеты поселений'!BB33</f>
        <v>0</v>
      </c>
      <c r="DB33" s="137">
        <f>'бюджет округа (района)'!BB33</f>
        <v>0</v>
      </c>
      <c r="DC33" s="134">
        <f t="shared" si="197"/>
        <v>0</v>
      </c>
      <c r="DD33" s="134">
        <f t="shared" si="197"/>
        <v>0</v>
      </c>
      <c r="DE33" s="135">
        <f t="shared" si="52"/>
        <v>1</v>
      </c>
      <c r="DF33" s="135">
        <f t="shared" si="52"/>
        <v>1</v>
      </c>
      <c r="DG33" s="134">
        <f>'бюджет округа (района)'!BE33+'бюджеты поселений'!BE33</f>
        <v>0</v>
      </c>
      <c r="DH33" s="137">
        <f>'бюджет округа (района)'!BE33</f>
        <v>0</v>
      </c>
      <c r="DI33" s="134">
        <f t="shared" si="198"/>
        <v>0</v>
      </c>
      <c r="DJ33" s="134">
        <f t="shared" si="198"/>
        <v>0</v>
      </c>
      <c r="DK33" s="135">
        <f t="shared" si="54"/>
        <v>1</v>
      </c>
      <c r="DL33" s="135">
        <f t="shared" si="54"/>
        <v>1</v>
      </c>
      <c r="DM33" s="134">
        <f>'бюджет округа (района)'!BH33+'бюджеты поселений'!BH33</f>
        <v>0</v>
      </c>
      <c r="DN33" s="137">
        <f>'бюджет округа (района)'!BH33</f>
        <v>0</v>
      </c>
      <c r="DO33" s="134">
        <f>'бюджет округа (района)'!BI33+'бюджеты поселений'!BI33</f>
        <v>0</v>
      </c>
      <c r="DP33" s="137">
        <f>'бюджет округа (района)'!BI33</f>
        <v>0</v>
      </c>
      <c r="DQ33" s="134">
        <f>'бюджет округа (района)'!BJ33+'бюджеты поселений'!BJ33</f>
        <v>0</v>
      </c>
      <c r="DR33" s="137">
        <f>'бюджет округа (района)'!BJ33</f>
        <v>0</v>
      </c>
      <c r="DS33" s="135">
        <f>IF($AY$33=0,1,DQ33/$AY$33-1)</f>
        <v>1</v>
      </c>
      <c r="DT33" s="135">
        <f>IF($AZ$33=0,1,DR33/$AZ$33-1)</f>
        <v>1</v>
      </c>
      <c r="DU33" s="135">
        <f t="shared" si="58"/>
        <v>1</v>
      </c>
      <c r="DV33" s="135">
        <f t="shared" si="59"/>
        <v>1</v>
      </c>
      <c r="DW33" s="167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33" customHeight="1">
      <c r="A34" s="236" t="s">
        <v>118</v>
      </c>
      <c r="B34" s="237"/>
      <c r="C34" s="134">
        <f>'бюджет округа (района)'!C34+'бюджеты поселений'!C34</f>
        <v>0</v>
      </c>
      <c r="D34" s="137">
        <f>'бюджет округа (района)'!C34</f>
        <v>0</v>
      </c>
      <c r="E34" s="134">
        <f t="shared" ref="E34" si="199">G34+I34+M34+Q34+U34+Y34+AC34+AG34+AK34+AO34+AS34+AW34</f>
        <v>0</v>
      </c>
      <c r="F34" s="137">
        <f t="shared" si="150"/>
        <v>0</v>
      </c>
      <c r="G34" s="134">
        <f>'бюджет округа (района)'!E34+'бюджеты поселений'!E34</f>
        <v>0</v>
      </c>
      <c r="H34" s="137">
        <f>'бюджет округа (района)'!E34</f>
        <v>0</v>
      </c>
      <c r="I34" s="134">
        <f>'бюджет округа (района)'!F34+'бюджеты поселений'!F34</f>
        <v>0</v>
      </c>
      <c r="J34" s="137">
        <f>'бюджет округа (района)'!F34</f>
        <v>0</v>
      </c>
      <c r="K34" s="134">
        <f t="shared" si="151"/>
        <v>0</v>
      </c>
      <c r="L34" s="134">
        <f t="shared" si="151"/>
        <v>0</v>
      </c>
      <c r="M34" s="134">
        <f>'бюджет округа (района)'!H34+'бюджеты поселений'!H34</f>
        <v>0</v>
      </c>
      <c r="N34" s="137">
        <f>'бюджет округа (района)'!H34</f>
        <v>0</v>
      </c>
      <c r="O34" s="134">
        <f t="shared" si="152"/>
        <v>0</v>
      </c>
      <c r="P34" s="134">
        <f t="shared" si="152"/>
        <v>0</v>
      </c>
      <c r="Q34" s="134">
        <f>'бюджет округа (района)'!J34+'бюджеты поселений'!J34</f>
        <v>0</v>
      </c>
      <c r="R34" s="137">
        <f>'бюджет округа (района)'!J34</f>
        <v>0</v>
      </c>
      <c r="S34" s="134">
        <f t="shared" si="153"/>
        <v>0</v>
      </c>
      <c r="T34" s="134">
        <f t="shared" si="153"/>
        <v>0</v>
      </c>
      <c r="U34" s="134">
        <f>'бюджет округа (района)'!L34+'бюджеты поселений'!L34</f>
        <v>0</v>
      </c>
      <c r="V34" s="137">
        <f>'бюджет округа (района)'!L34</f>
        <v>0</v>
      </c>
      <c r="W34" s="134">
        <f t="shared" si="154"/>
        <v>0</v>
      </c>
      <c r="X34" s="134">
        <f t="shared" si="154"/>
        <v>0</v>
      </c>
      <c r="Y34" s="134">
        <f>'бюджет округа (района)'!N34+'бюджеты поселений'!N34</f>
        <v>0</v>
      </c>
      <c r="Z34" s="137">
        <f>'бюджет округа (района)'!N34</f>
        <v>0</v>
      </c>
      <c r="AA34" s="134">
        <f t="shared" si="155"/>
        <v>0</v>
      </c>
      <c r="AB34" s="134">
        <f t="shared" si="155"/>
        <v>0</v>
      </c>
      <c r="AC34" s="134">
        <f>'бюджет округа (района)'!P34+'бюджеты поселений'!P34</f>
        <v>0</v>
      </c>
      <c r="AD34" s="137">
        <f>'бюджет округа (района)'!P34</f>
        <v>0</v>
      </c>
      <c r="AE34" s="134">
        <f t="shared" si="156"/>
        <v>0</v>
      </c>
      <c r="AF34" s="134">
        <f t="shared" si="156"/>
        <v>0</v>
      </c>
      <c r="AG34" s="134">
        <f>'бюджет округа (района)'!R34+'бюджеты поселений'!R34</f>
        <v>0</v>
      </c>
      <c r="AH34" s="137">
        <f>'бюджет округа (района)'!R34</f>
        <v>0</v>
      </c>
      <c r="AI34" s="134">
        <f t="shared" si="185"/>
        <v>0</v>
      </c>
      <c r="AJ34" s="134">
        <f t="shared" si="185"/>
        <v>0</v>
      </c>
      <c r="AK34" s="134">
        <f>'бюджет округа (района)'!T34+'бюджеты поселений'!T34</f>
        <v>0</v>
      </c>
      <c r="AL34" s="137">
        <f>'бюджет округа (района)'!T34</f>
        <v>0</v>
      </c>
      <c r="AM34" s="134">
        <f t="shared" si="186"/>
        <v>0</v>
      </c>
      <c r="AN34" s="134">
        <f t="shared" si="186"/>
        <v>0</v>
      </c>
      <c r="AO34" s="134">
        <f>'бюджет округа (района)'!V34+'бюджеты поселений'!V34</f>
        <v>0</v>
      </c>
      <c r="AP34" s="137">
        <f>'бюджет округа (района)'!V34</f>
        <v>0</v>
      </c>
      <c r="AQ34" s="134">
        <f t="shared" si="187"/>
        <v>0</v>
      </c>
      <c r="AR34" s="134">
        <f t="shared" si="187"/>
        <v>0</v>
      </c>
      <c r="AS34" s="134">
        <f>'бюджет округа (района)'!X34+'бюджеты поселений'!X34</f>
        <v>0</v>
      </c>
      <c r="AT34" s="137">
        <f>'бюджет округа (района)'!X34</f>
        <v>0</v>
      </c>
      <c r="AU34" s="134">
        <f t="shared" si="188"/>
        <v>0</v>
      </c>
      <c r="AV34" s="134">
        <f t="shared" si="188"/>
        <v>0</v>
      </c>
      <c r="AW34" s="134">
        <f>'бюджет округа (района)'!Z34+'бюджеты поселений'!Z34</f>
        <v>0</v>
      </c>
      <c r="AX34" s="137">
        <f>'бюджет округа (района)'!Z34</f>
        <v>0</v>
      </c>
      <c r="AY34" s="134">
        <f>'бюджет округа (района)'!AA34+'бюджеты поселений'!AA34</f>
        <v>0</v>
      </c>
      <c r="AZ34" s="137">
        <f>'бюджет округа (района)'!AA34</f>
        <v>0</v>
      </c>
      <c r="BA34" s="135">
        <f t="shared" si="173"/>
        <v>1</v>
      </c>
      <c r="BB34" s="135">
        <f t="shared" si="173"/>
        <v>1</v>
      </c>
      <c r="BC34" s="134">
        <f>'бюджет округа (района)'!AC34+'бюджеты поселений'!AC34</f>
        <v>0</v>
      </c>
      <c r="BD34" s="137">
        <f>'бюджет округа (района)'!AC34</f>
        <v>0</v>
      </c>
      <c r="BE34" s="134">
        <f>'бюджет округа (района)'!AD34+'бюджеты поселений'!AD34</f>
        <v>0</v>
      </c>
      <c r="BF34" s="137">
        <f>'бюджет округа (района)'!AD34</f>
        <v>0</v>
      </c>
      <c r="BG34" s="134">
        <f t="shared" si="189"/>
        <v>0</v>
      </c>
      <c r="BH34" s="134">
        <f t="shared" si="189"/>
        <v>0</v>
      </c>
      <c r="BI34" s="135">
        <f t="shared" si="36"/>
        <v>1</v>
      </c>
      <c r="BJ34" s="135">
        <f t="shared" si="36"/>
        <v>1</v>
      </c>
      <c r="BK34" s="134">
        <f>'бюджет округа (района)'!AG34+'бюджеты поселений'!AG34</f>
        <v>0</v>
      </c>
      <c r="BL34" s="137">
        <f>'бюджет округа (района)'!AG34</f>
        <v>0</v>
      </c>
      <c r="BM34" s="134">
        <f t="shared" si="190"/>
        <v>0</v>
      </c>
      <c r="BN34" s="134">
        <f t="shared" si="190"/>
        <v>0</v>
      </c>
      <c r="BO34" s="135">
        <f t="shared" si="38"/>
        <v>1</v>
      </c>
      <c r="BP34" s="135">
        <f t="shared" si="38"/>
        <v>1</v>
      </c>
      <c r="BQ34" s="134">
        <f>'бюджет округа (района)'!AJ34+'бюджеты поселений'!AJ34</f>
        <v>0</v>
      </c>
      <c r="BR34" s="137">
        <f>'бюджет округа (района)'!AJ34</f>
        <v>0</v>
      </c>
      <c r="BS34" s="134">
        <f t="shared" si="191"/>
        <v>0</v>
      </c>
      <c r="BT34" s="134">
        <f t="shared" si="191"/>
        <v>0</v>
      </c>
      <c r="BU34" s="135">
        <f t="shared" si="40"/>
        <v>1</v>
      </c>
      <c r="BV34" s="135">
        <f t="shared" si="40"/>
        <v>1</v>
      </c>
      <c r="BW34" s="134">
        <f>'бюджет округа (района)'!AM34+'бюджеты поселений'!AM34</f>
        <v>0</v>
      </c>
      <c r="BX34" s="137">
        <f>'бюджет округа (района)'!AM34</f>
        <v>0</v>
      </c>
      <c r="BY34" s="134">
        <f t="shared" si="192"/>
        <v>0</v>
      </c>
      <c r="BZ34" s="134">
        <f t="shared" si="192"/>
        <v>0</v>
      </c>
      <c r="CA34" s="135">
        <f t="shared" si="42"/>
        <v>1</v>
      </c>
      <c r="CB34" s="135">
        <f t="shared" si="42"/>
        <v>1</v>
      </c>
      <c r="CC34" s="134">
        <f>'бюджет округа (района)'!AP34+'бюджеты поселений'!AP34</f>
        <v>0</v>
      </c>
      <c r="CD34" s="137">
        <f>'бюджет округа (района)'!AP34</f>
        <v>0</v>
      </c>
      <c r="CE34" s="134">
        <f t="shared" si="193"/>
        <v>0</v>
      </c>
      <c r="CF34" s="134">
        <f t="shared" si="193"/>
        <v>0</v>
      </c>
      <c r="CG34" s="135">
        <f t="shared" si="44"/>
        <v>1</v>
      </c>
      <c r="CH34" s="135">
        <f t="shared" si="44"/>
        <v>1</v>
      </c>
      <c r="CI34" s="134">
        <f>'бюджет округа (района)'!AS34+'бюджеты поселений'!AS34</f>
        <v>0</v>
      </c>
      <c r="CJ34" s="137">
        <f>'бюджет округа (района)'!AS34</f>
        <v>0</v>
      </c>
      <c r="CK34" s="134">
        <f t="shared" si="194"/>
        <v>0</v>
      </c>
      <c r="CL34" s="134">
        <f t="shared" si="194"/>
        <v>0</v>
      </c>
      <c r="CM34" s="135">
        <f t="shared" si="46"/>
        <v>1</v>
      </c>
      <c r="CN34" s="135">
        <f t="shared" si="46"/>
        <v>1</v>
      </c>
      <c r="CO34" s="134">
        <f>'бюджет округа (района)'!AV34+'бюджеты поселений'!AV34</f>
        <v>0</v>
      </c>
      <c r="CP34" s="137">
        <f>'бюджет округа (района)'!AV34</f>
        <v>0</v>
      </c>
      <c r="CQ34" s="134">
        <f t="shared" si="195"/>
        <v>0</v>
      </c>
      <c r="CR34" s="134">
        <f t="shared" si="195"/>
        <v>0</v>
      </c>
      <c r="CS34" s="135">
        <f t="shared" si="48"/>
        <v>1</v>
      </c>
      <c r="CT34" s="135">
        <f t="shared" si="48"/>
        <v>1</v>
      </c>
      <c r="CU34" s="134">
        <f>'бюджет округа (района)'!AY34+'бюджеты поселений'!AY34</f>
        <v>0</v>
      </c>
      <c r="CV34" s="137">
        <f>'бюджет округа (района)'!AY34</f>
        <v>0</v>
      </c>
      <c r="CW34" s="134">
        <f t="shared" si="196"/>
        <v>0</v>
      </c>
      <c r="CX34" s="134">
        <f t="shared" si="196"/>
        <v>0</v>
      </c>
      <c r="CY34" s="135">
        <f t="shared" si="50"/>
        <v>1</v>
      </c>
      <c r="CZ34" s="135">
        <f t="shared" si="50"/>
        <v>1</v>
      </c>
      <c r="DA34" s="134">
        <f>'бюджет округа (района)'!BB34+'бюджеты поселений'!BB34</f>
        <v>0</v>
      </c>
      <c r="DB34" s="137">
        <f>'бюджет округа (района)'!BB34</f>
        <v>0</v>
      </c>
      <c r="DC34" s="134">
        <f t="shared" si="197"/>
        <v>0</v>
      </c>
      <c r="DD34" s="134">
        <f t="shared" si="197"/>
        <v>0</v>
      </c>
      <c r="DE34" s="135">
        <f t="shared" si="52"/>
        <v>1</v>
      </c>
      <c r="DF34" s="135">
        <f t="shared" si="52"/>
        <v>1</v>
      </c>
      <c r="DG34" s="134">
        <f>'бюджет округа (района)'!BE34+'бюджеты поселений'!BE34</f>
        <v>0</v>
      </c>
      <c r="DH34" s="137">
        <f>'бюджет округа (района)'!BE34</f>
        <v>0</v>
      </c>
      <c r="DI34" s="134">
        <f t="shared" si="198"/>
        <v>0</v>
      </c>
      <c r="DJ34" s="134">
        <f t="shared" si="198"/>
        <v>0</v>
      </c>
      <c r="DK34" s="135">
        <f t="shared" si="54"/>
        <v>1</v>
      </c>
      <c r="DL34" s="135">
        <f t="shared" si="54"/>
        <v>1</v>
      </c>
      <c r="DM34" s="134">
        <f>'бюджет округа (района)'!BH34+'бюджеты поселений'!BH34</f>
        <v>0</v>
      </c>
      <c r="DN34" s="137">
        <f>'бюджет округа (района)'!BH34</f>
        <v>0</v>
      </c>
      <c r="DO34" s="134">
        <f>'бюджет округа (района)'!BI34+'бюджеты поселений'!BI34</f>
        <v>0</v>
      </c>
      <c r="DP34" s="137">
        <f>'бюджет округа (района)'!BI34</f>
        <v>0</v>
      </c>
      <c r="DQ34" s="134">
        <f>'бюджет округа (района)'!BJ34+'бюджеты поселений'!BJ34</f>
        <v>0</v>
      </c>
      <c r="DR34" s="137">
        <f>'бюджет округа (района)'!BJ34</f>
        <v>0</v>
      </c>
      <c r="DS34" s="135">
        <f>IF($AY$34=0,1,DQ34/$AY$34-1)</f>
        <v>1</v>
      </c>
      <c r="DT34" s="135">
        <f>IF($AZ$34=0,1,DR34/$AZ$34-1)</f>
        <v>1</v>
      </c>
      <c r="DU34" s="135">
        <f t="shared" si="58"/>
        <v>1</v>
      </c>
      <c r="DV34" s="135">
        <f t="shared" si="59"/>
        <v>1</v>
      </c>
      <c r="DW34" s="167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236" t="s">
        <v>48</v>
      </c>
      <c r="B35" s="237"/>
      <c r="C35" s="134">
        <f>'бюджет округа (района)'!C35+'бюджеты поселений'!C35</f>
        <v>0</v>
      </c>
      <c r="D35" s="137">
        <f>'бюджет округа (района)'!C35</f>
        <v>0</v>
      </c>
      <c r="E35" s="134">
        <f t="shared" si="150"/>
        <v>0</v>
      </c>
      <c r="F35" s="137">
        <f t="shared" si="150"/>
        <v>0</v>
      </c>
      <c r="G35" s="134">
        <f>'бюджет округа (района)'!E35+'бюджеты поселений'!E35</f>
        <v>0</v>
      </c>
      <c r="H35" s="137">
        <f>'бюджет округа (района)'!E35</f>
        <v>0</v>
      </c>
      <c r="I35" s="134">
        <f>'бюджет округа (района)'!F35+'бюджеты поселений'!F35</f>
        <v>0</v>
      </c>
      <c r="J35" s="137">
        <f>'бюджет округа (района)'!F35</f>
        <v>0</v>
      </c>
      <c r="K35" s="134">
        <f t="shared" si="151"/>
        <v>0</v>
      </c>
      <c r="L35" s="134">
        <f t="shared" si="151"/>
        <v>0</v>
      </c>
      <c r="M35" s="134">
        <f>'бюджет округа (района)'!H35+'бюджеты поселений'!H35</f>
        <v>0</v>
      </c>
      <c r="N35" s="137">
        <f>'бюджет округа (района)'!H35</f>
        <v>0</v>
      </c>
      <c r="O35" s="134">
        <f t="shared" si="152"/>
        <v>0</v>
      </c>
      <c r="P35" s="134">
        <f t="shared" si="152"/>
        <v>0</v>
      </c>
      <c r="Q35" s="134">
        <f>'бюджет округа (района)'!J35+'бюджеты поселений'!J35</f>
        <v>0</v>
      </c>
      <c r="R35" s="137">
        <f>'бюджет округа (района)'!J35</f>
        <v>0</v>
      </c>
      <c r="S35" s="134">
        <f t="shared" si="153"/>
        <v>0</v>
      </c>
      <c r="T35" s="134">
        <f t="shared" si="153"/>
        <v>0</v>
      </c>
      <c r="U35" s="134">
        <f>'бюджет округа (района)'!L35+'бюджеты поселений'!L35</f>
        <v>0</v>
      </c>
      <c r="V35" s="137">
        <f>'бюджет округа (района)'!L35</f>
        <v>0</v>
      </c>
      <c r="W35" s="134">
        <f t="shared" si="154"/>
        <v>0</v>
      </c>
      <c r="X35" s="134">
        <f t="shared" si="154"/>
        <v>0</v>
      </c>
      <c r="Y35" s="134">
        <f>'бюджет округа (района)'!N35+'бюджеты поселений'!N35</f>
        <v>0</v>
      </c>
      <c r="Z35" s="137">
        <f>'бюджет округа (района)'!N35</f>
        <v>0</v>
      </c>
      <c r="AA35" s="134">
        <f t="shared" si="155"/>
        <v>0</v>
      </c>
      <c r="AB35" s="134">
        <f t="shared" si="155"/>
        <v>0</v>
      </c>
      <c r="AC35" s="134">
        <f>'бюджет округа (района)'!P35+'бюджеты поселений'!P35</f>
        <v>0</v>
      </c>
      <c r="AD35" s="137">
        <f>'бюджет округа (района)'!P35</f>
        <v>0</v>
      </c>
      <c r="AE35" s="134">
        <f t="shared" si="156"/>
        <v>0</v>
      </c>
      <c r="AF35" s="134">
        <f t="shared" si="156"/>
        <v>0</v>
      </c>
      <c r="AG35" s="134">
        <f>'бюджет округа (района)'!R35+'бюджеты поселений'!R35</f>
        <v>0</v>
      </c>
      <c r="AH35" s="137">
        <f>'бюджет округа (района)'!R35</f>
        <v>0</v>
      </c>
      <c r="AI35" s="134">
        <f t="shared" si="185"/>
        <v>0</v>
      </c>
      <c r="AJ35" s="134">
        <f t="shared" si="185"/>
        <v>0</v>
      </c>
      <c r="AK35" s="134">
        <f>'бюджет округа (района)'!T35+'бюджеты поселений'!T35</f>
        <v>0</v>
      </c>
      <c r="AL35" s="137">
        <f>'бюджет округа (района)'!T35</f>
        <v>0</v>
      </c>
      <c r="AM35" s="134">
        <f t="shared" si="186"/>
        <v>0</v>
      </c>
      <c r="AN35" s="134">
        <f t="shared" si="186"/>
        <v>0</v>
      </c>
      <c r="AO35" s="134">
        <f>'бюджет округа (района)'!V35+'бюджеты поселений'!V35</f>
        <v>0</v>
      </c>
      <c r="AP35" s="137">
        <f>'бюджет округа (района)'!V35</f>
        <v>0</v>
      </c>
      <c r="AQ35" s="134">
        <f t="shared" si="187"/>
        <v>0</v>
      </c>
      <c r="AR35" s="134">
        <f t="shared" si="187"/>
        <v>0</v>
      </c>
      <c r="AS35" s="134">
        <f>'бюджет округа (района)'!X35+'бюджеты поселений'!X35</f>
        <v>0</v>
      </c>
      <c r="AT35" s="137">
        <f>'бюджет округа (района)'!X35</f>
        <v>0</v>
      </c>
      <c r="AU35" s="134">
        <f t="shared" si="188"/>
        <v>0</v>
      </c>
      <c r="AV35" s="134">
        <f t="shared" si="188"/>
        <v>0</v>
      </c>
      <c r="AW35" s="134">
        <f>'бюджет округа (района)'!Z35+'бюджеты поселений'!Z35</f>
        <v>0</v>
      </c>
      <c r="AX35" s="137">
        <f>'бюджет округа (района)'!Z35</f>
        <v>0</v>
      </c>
      <c r="AY35" s="134">
        <f>'бюджет округа (района)'!AA35+'бюджеты поселений'!AA35</f>
        <v>0</v>
      </c>
      <c r="AZ35" s="137">
        <f>'бюджет округа (района)'!AA35</f>
        <v>0</v>
      </c>
      <c r="BA35" s="135">
        <f t="shared" si="173"/>
        <v>1</v>
      </c>
      <c r="BB35" s="135">
        <f t="shared" si="173"/>
        <v>1</v>
      </c>
      <c r="BC35" s="134">
        <f>'бюджет округа (района)'!AC35+'бюджеты поселений'!AC35</f>
        <v>0</v>
      </c>
      <c r="BD35" s="137">
        <f>'бюджет округа (района)'!AC35</f>
        <v>0</v>
      </c>
      <c r="BE35" s="134">
        <f>'бюджет округа (района)'!AD35+'бюджеты поселений'!AD35</f>
        <v>0</v>
      </c>
      <c r="BF35" s="137">
        <f>'бюджет округа (района)'!AD35</f>
        <v>0</v>
      </c>
      <c r="BG35" s="134">
        <f t="shared" si="189"/>
        <v>0</v>
      </c>
      <c r="BH35" s="134">
        <f t="shared" si="189"/>
        <v>0</v>
      </c>
      <c r="BI35" s="135">
        <f t="shared" si="36"/>
        <v>1</v>
      </c>
      <c r="BJ35" s="135">
        <f t="shared" si="36"/>
        <v>1</v>
      </c>
      <c r="BK35" s="134">
        <f>'бюджет округа (района)'!AG35+'бюджеты поселений'!AG35</f>
        <v>0</v>
      </c>
      <c r="BL35" s="137">
        <f>'бюджет округа (района)'!AG35</f>
        <v>0</v>
      </c>
      <c r="BM35" s="134">
        <f t="shared" si="190"/>
        <v>0</v>
      </c>
      <c r="BN35" s="134">
        <f t="shared" si="190"/>
        <v>0</v>
      </c>
      <c r="BO35" s="135">
        <f t="shared" si="38"/>
        <v>1</v>
      </c>
      <c r="BP35" s="135">
        <f t="shared" si="38"/>
        <v>1</v>
      </c>
      <c r="BQ35" s="134">
        <f>'бюджет округа (района)'!AJ35+'бюджеты поселений'!AJ35</f>
        <v>0</v>
      </c>
      <c r="BR35" s="137">
        <f>'бюджет округа (района)'!AJ35</f>
        <v>0</v>
      </c>
      <c r="BS35" s="134">
        <f t="shared" si="191"/>
        <v>0</v>
      </c>
      <c r="BT35" s="134">
        <f t="shared" si="191"/>
        <v>0</v>
      </c>
      <c r="BU35" s="135">
        <f t="shared" si="40"/>
        <v>1</v>
      </c>
      <c r="BV35" s="135">
        <f t="shared" si="40"/>
        <v>1</v>
      </c>
      <c r="BW35" s="134">
        <f>'бюджет округа (района)'!AM35+'бюджеты поселений'!AM35</f>
        <v>0</v>
      </c>
      <c r="BX35" s="137">
        <f>'бюджет округа (района)'!AM35</f>
        <v>0</v>
      </c>
      <c r="BY35" s="134">
        <f t="shared" si="192"/>
        <v>0</v>
      </c>
      <c r="BZ35" s="134">
        <f t="shared" si="192"/>
        <v>0</v>
      </c>
      <c r="CA35" s="135">
        <f t="shared" si="42"/>
        <v>1</v>
      </c>
      <c r="CB35" s="135">
        <f t="shared" si="42"/>
        <v>1</v>
      </c>
      <c r="CC35" s="134">
        <f>'бюджет округа (района)'!AP35+'бюджеты поселений'!AP35</f>
        <v>0</v>
      </c>
      <c r="CD35" s="137">
        <f>'бюджет округа (района)'!AP35</f>
        <v>0</v>
      </c>
      <c r="CE35" s="134">
        <f t="shared" si="193"/>
        <v>0</v>
      </c>
      <c r="CF35" s="134">
        <f t="shared" si="193"/>
        <v>0</v>
      </c>
      <c r="CG35" s="135">
        <f t="shared" si="44"/>
        <v>1</v>
      </c>
      <c r="CH35" s="135">
        <f t="shared" si="44"/>
        <v>1</v>
      </c>
      <c r="CI35" s="134">
        <f>'бюджет округа (района)'!AS35+'бюджеты поселений'!AS35</f>
        <v>0</v>
      </c>
      <c r="CJ35" s="137">
        <f>'бюджет округа (района)'!AS35</f>
        <v>0</v>
      </c>
      <c r="CK35" s="134">
        <f t="shared" si="194"/>
        <v>0</v>
      </c>
      <c r="CL35" s="134">
        <f t="shared" si="194"/>
        <v>0</v>
      </c>
      <c r="CM35" s="135">
        <f t="shared" si="46"/>
        <v>1</v>
      </c>
      <c r="CN35" s="135">
        <f t="shared" si="46"/>
        <v>1</v>
      </c>
      <c r="CO35" s="134">
        <f>'бюджет округа (района)'!AV35+'бюджеты поселений'!AV35</f>
        <v>0</v>
      </c>
      <c r="CP35" s="137">
        <f>'бюджет округа (района)'!AV35</f>
        <v>0</v>
      </c>
      <c r="CQ35" s="134">
        <f t="shared" si="195"/>
        <v>0</v>
      </c>
      <c r="CR35" s="134">
        <f t="shared" si="195"/>
        <v>0</v>
      </c>
      <c r="CS35" s="135">
        <f t="shared" si="48"/>
        <v>1</v>
      </c>
      <c r="CT35" s="135">
        <f t="shared" si="48"/>
        <v>1</v>
      </c>
      <c r="CU35" s="134">
        <f>'бюджет округа (района)'!AY35+'бюджеты поселений'!AY35</f>
        <v>0</v>
      </c>
      <c r="CV35" s="137">
        <f>'бюджет округа (района)'!AY35</f>
        <v>0</v>
      </c>
      <c r="CW35" s="134">
        <f t="shared" si="196"/>
        <v>0</v>
      </c>
      <c r="CX35" s="134">
        <f t="shared" si="196"/>
        <v>0</v>
      </c>
      <c r="CY35" s="135">
        <f t="shared" si="50"/>
        <v>1</v>
      </c>
      <c r="CZ35" s="135">
        <f t="shared" si="50"/>
        <v>1</v>
      </c>
      <c r="DA35" s="134">
        <f>'бюджет округа (района)'!BB35+'бюджеты поселений'!BB35</f>
        <v>0</v>
      </c>
      <c r="DB35" s="137">
        <f>'бюджет округа (района)'!BB35</f>
        <v>0</v>
      </c>
      <c r="DC35" s="134">
        <f t="shared" si="197"/>
        <v>0</v>
      </c>
      <c r="DD35" s="134">
        <f t="shared" si="197"/>
        <v>0</v>
      </c>
      <c r="DE35" s="135">
        <f t="shared" si="52"/>
        <v>1</v>
      </c>
      <c r="DF35" s="135">
        <f t="shared" si="52"/>
        <v>1</v>
      </c>
      <c r="DG35" s="134">
        <f>'бюджет округа (района)'!BE35+'бюджеты поселений'!BE35</f>
        <v>0</v>
      </c>
      <c r="DH35" s="137">
        <f>'бюджет округа (района)'!BE35</f>
        <v>0</v>
      </c>
      <c r="DI35" s="134">
        <f t="shared" si="198"/>
        <v>0</v>
      </c>
      <c r="DJ35" s="134">
        <f t="shared" si="198"/>
        <v>0</v>
      </c>
      <c r="DK35" s="135">
        <f t="shared" si="54"/>
        <v>1</v>
      </c>
      <c r="DL35" s="135">
        <f t="shared" si="54"/>
        <v>1</v>
      </c>
      <c r="DM35" s="134">
        <f>'бюджет округа (района)'!BH35+'бюджеты поселений'!BH35</f>
        <v>0</v>
      </c>
      <c r="DN35" s="137">
        <f>'бюджет округа (района)'!BH35</f>
        <v>0</v>
      </c>
      <c r="DO35" s="134">
        <f>'бюджет округа (района)'!BI35+'бюджеты поселений'!BI35</f>
        <v>0</v>
      </c>
      <c r="DP35" s="137">
        <f>'бюджет округа (района)'!BI35</f>
        <v>0</v>
      </c>
      <c r="DQ35" s="134">
        <f>'бюджет округа (района)'!BJ35+'бюджеты поселений'!BJ35</f>
        <v>0</v>
      </c>
      <c r="DR35" s="137">
        <f>'бюджет округа (района)'!BJ35</f>
        <v>0</v>
      </c>
      <c r="DS35" s="135">
        <f>IF($AY$35=0,1,DQ35/$AY$35-1)</f>
        <v>1</v>
      </c>
      <c r="DT35" s="135">
        <f>IF($AZ$35=0,1,DR35/$AZ$35-1)</f>
        <v>1</v>
      </c>
      <c r="DU35" s="135">
        <f t="shared" si="58"/>
        <v>1</v>
      </c>
      <c r="DV35" s="135">
        <f t="shared" si="59"/>
        <v>1</v>
      </c>
      <c r="DW35" s="167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66" customFormat="1" ht="18" customHeight="1">
      <c r="A36" s="236" t="s">
        <v>93</v>
      </c>
      <c r="B36" s="237"/>
      <c r="C36" s="134">
        <f>'бюджет округа (района)'!C36+'бюджеты поселений'!C36</f>
        <v>0</v>
      </c>
      <c r="D36" s="137">
        <f>'бюджет округа (района)'!C36</f>
        <v>0</v>
      </c>
      <c r="E36" s="134">
        <f t="shared" si="150"/>
        <v>0</v>
      </c>
      <c r="F36" s="137">
        <f t="shared" si="150"/>
        <v>0</v>
      </c>
      <c r="G36" s="134">
        <f>'бюджет округа (района)'!E36+'бюджеты поселений'!E36</f>
        <v>0</v>
      </c>
      <c r="H36" s="137">
        <f>'бюджет округа (района)'!E36</f>
        <v>0</v>
      </c>
      <c r="I36" s="134">
        <f>'бюджет округа (района)'!F36+'бюджеты поселений'!F36</f>
        <v>0</v>
      </c>
      <c r="J36" s="137">
        <f>'бюджет округа (района)'!F36</f>
        <v>0</v>
      </c>
      <c r="K36" s="134">
        <f t="shared" si="151"/>
        <v>0</v>
      </c>
      <c r="L36" s="134">
        <f t="shared" si="151"/>
        <v>0</v>
      </c>
      <c r="M36" s="134">
        <f>'бюджет округа (района)'!H36+'бюджеты поселений'!H36</f>
        <v>0</v>
      </c>
      <c r="N36" s="137">
        <f>'бюджет округа (района)'!H36</f>
        <v>0</v>
      </c>
      <c r="O36" s="134">
        <f t="shared" si="152"/>
        <v>0</v>
      </c>
      <c r="P36" s="134">
        <f t="shared" si="152"/>
        <v>0</v>
      </c>
      <c r="Q36" s="134">
        <f>'бюджет округа (района)'!J36+'бюджеты поселений'!J36</f>
        <v>0</v>
      </c>
      <c r="R36" s="137">
        <f>'бюджет округа (района)'!J36</f>
        <v>0</v>
      </c>
      <c r="S36" s="134">
        <f t="shared" si="153"/>
        <v>0</v>
      </c>
      <c r="T36" s="134">
        <f t="shared" si="153"/>
        <v>0</v>
      </c>
      <c r="U36" s="134">
        <f>'бюджет округа (района)'!L36+'бюджеты поселений'!L36</f>
        <v>0</v>
      </c>
      <c r="V36" s="137">
        <f>'бюджет округа (района)'!L36</f>
        <v>0</v>
      </c>
      <c r="W36" s="134">
        <f t="shared" si="154"/>
        <v>0</v>
      </c>
      <c r="X36" s="134">
        <f t="shared" si="154"/>
        <v>0</v>
      </c>
      <c r="Y36" s="134">
        <f>'бюджет округа (района)'!N36+'бюджеты поселений'!N36</f>
        <v>0</v>
      </c>
      <c r="Z36" s="137">
        <f>'бюджет округа (района)'!N36</f>
        <v>0</v>
      </c>
      <c r="AA36" s="134">
        <f t="shared" si="155"/>
        <v>0</v>
      </c>
      <c r="AB36" s="134">
        <f t="shared" si="155"/>
        <v>0</v>
      </c>
      <c r="AC36" s="134">
        <f>'бюджет округа (района)'!P36+'бюджеты поселений'!P36</f>
        <v>0</v>
      </c>
      <c r="AD36" s="137">
        <f>'бюджет округа (района)'!P36</f>
        <v>0</v>
      </c>
      <c r="AE36" s="134">
        <f t="shared" si="156"/>
        <v>0</v>
      </c>
      <c r="AF36" s="134">
        <f t="shared" si="156"/>
        <v>0</v>
      </c>
      <c r="AG36" s="134">
        <f>'бюджет округа (района)'!R36+'бюджеты поселений'!R36</f>
        <v>0</v>
      </c>
      <c r="AH36" s="137">
        <f>'бюджет округа (района)'!R36</f>
        <v>0</v>
      </c>
      <c r="AI36" s="134">
        <f t="shared" si="185"/>
        <v>0</v>
      </c>
      <c r="AJ36" s="134">
        <f t="shared" si="185"/>
        <v>0</v>
      </c>
      <c r="AK36" s="134">
        <f>'бюджет округа (района)'!T36+'бюджеты поселений'!T36</f>
        <v>0</v>
      </c>
      <c r="AL36" s="137">
        <f>'бюджет округа (района)'!T36</f>
        <v>0</v>
      </c>
      <c r="AM36" s="134">
        <f t="shared" si="186"/>
        <v>0</v>
      </c>
      <c r="AN36" s="134">
        <f t="shared" si="186"/>
        <v>0</v>
      </c>
      <c r="AO36" s="134">
        <f>'бюджет округа (района)'!V36+'бюджеты поселений'!V36</f>
        <v>0</v>
      </c>
      <c r="AP36" s="137">
        <f>'бюджет округа (района)'!V36</f>
        <v>0</v>
      </c>
      <c r="AQ36" s="134">
        <f t="shared" si="187"/>
        <v>0</v>
      </c>
      <c r="AR36" s="134">
        <f t="shared" si="187"/>
        <v>0</v>
      </c>
      <c r="AS36" s="134">
        <f>'бюджет округа (района)'!X36+'бюджеты поселений'!X36</f>
        <v>0</v>
      </c>
      <c r="AT36" s="137">
        <f>'бюджет округа (района)'!X36</f>
        <v>0</v>
      </c>
      <c r="AU36" s="134">
        <f t="shared" si="188"/>
        <v>0</v>
      </c>
      <c r="AV36" s="134">
        <f t="shared" si="188"/>
        <v>0</v>
      </c>
      <c r="AW36" s="134">
        <f>'бюджет округа (района)'!Z36+'бюджеты поселений'!Z36</f>
        <v>0</v>
      </c>
      <c r="AX36" s="137">
        <f>'бюджет округа (района)'!Z36</f>
        <v>0</v>
      </c>
      <c r="AY36" s="134">
        <f>'бюджет округа (района)'!AA36+'бюджеты поселений'!AA36</f>
        <v>0</v>
      </c>
      <c r="AZ36" s="137">
        <f>'бюджет округа (района)'!AA36</f>
        <v>0</v>
      </c>
      <c r="BA36" s="135">
        <f t="shared" si="173"/>
        <v>1</v>
      </c>
      <c r="BB36" s="135">
        <f t="shared" si="173"/>
        <v>1</v>
      </c>
      <c r="BC36" s="134">
        <f>'бюджет округа (района)'!AC36+'бюджеты поселений'!AC36</f>
        <v>0</v>
      </c>
      <c r="BD36" s="137">
        <f>'бюджет округа (района)'!AC36</f>
        <v>0</v>
      </c>
      <c r="BE36" s="134">
        <f>'бюджет округа (района)'!AD36+'бюджеты поселений'!AD36</f>
        <v>0</v>
      </c>
      <c r="BF36" s="137">
        <f>'бюджет округа (района)'!AD36</f>
        <v>0</v>
      </c>
      <c r="BG36" s="134">
        <f t="shared" si="189"/>
        <v>0</v>
      </c>
      <c r="BH36" s="134">
        <f t="shared" si="189"/>
        <v>0</v>
      </c>
      <c r="BI36" s="135">
        <f t="shared" si="36"/>
        <v>1</v>
      </c>
      <c r="BJ36" s="135">
        <f t="shared" si="36"/>
        <v>1</v>
      </c>
      <c r="BK36" s="134">
        <f>'бюджет округа (района)'!AG36+'бюджеты поселений'!AG36</f>
        <v>0</v>
      </c>
      <c r="BL36" s="137">
        <f>'бюджет округа (района)'!AG36</f>
        <v>0</v>
      </c>
      <c r="BM36" s="134">
        <f t="shared" si="190"/>
        <v>0</v>
      </c>
      <c r="BN36" s="134">
        <f t="shared" si="190"/>
        <v>0</v>
      </c>
      <c r="BO36" s="135">
        <f t="shared" si="38"/>
        <v>1</v>
      </c>
      <c r="BP36" s="135">
        <f t="shared" si="38"/>
        <v>1</v>
      </c>
      <c r="BQ36" s="134">
        <f>'бюджет округа (района)'!AJ36+'бюджеты поселений'!AJ36</f>
        <v>0</v>
      </c>
      <c r="BR36" s="137">
        <f>'бюджет округа (района)'!AJ36</f>
        <v>0</v>
      </c>
      <c r="BS36" s="134">
        <f t="shared" si="191"/>
        <v>0</v>
      </c>
      <c r="BT36" s="134">
        <f t="shared" si="191"/>
        <v>0</v>
      </c>
      <c r="BU36" s="135">
        <f t="shared" si="40"/>
        <v>1</v>
      </c>
      <c r="BV36" s="135">
        <f t="shared" si="40"/>
        <v>1</v>
      </c>
      <c r="BW36" s="134">
        <f>'бюджет округа (района)'!AM36+'бюджеты поселений'!AM36</f>
        <v>0</v>
      </c>
      <c r="BX36" s="137">
        <f>'бюджет округа (района)'!AM36</f>
        <v>0</v>
      </c>
      <c r="BY36" s="134">
        <f t="shared" si="192"/>
        <v>0</v>
      </c>
      <c r="BZ36" s="134">
        <f t="shared" si="192"/>
        <v>0</v>
      </c>
      <c r="CA36" s="135">
        <f t="shared" si="42"/>
        <v>1</v>
      </c>
      <c r="CB36" s="135">
        <f t="shared" si="42"/>
        <v>1</v>
      </c>
      <c r="CC36" s="134">
        <f>'бюджет округа (района)'!AP36+'бюджеты поселений'!AP36</f>
        <v>0</v>
      </c>
      <c r="CD36" s="137">
        <f>'бюджет округа (района)'!AP36</f>
        <v>0</v>
      </c>
      <c r="CE36" s="134">
        <f t="shared" si="193"/>
        <v>0</v>
      </c>
      <c r="CF36" s="134">
        <f t="shared" si="193"/>
        <v>0</v>
      </c>
      <c r="CG36" s="135">
        <f t="shared" si="44"/>
        <v>1</v>
      </c>
      <c r="CH36" s="135">
        <f t="shared" si="44"/>
        <v>1</v>
      </c>
      <c r="CI36" s="134">
        <f>'бюджет округа (района)'!AS36+'бюджеты поселений'!AS36</f>
        <v>0</v>
      </c>
      <c r="CJ36" s="137">
        <f>'бюджет округа (района)'!AS36</f>
        <v>0</v>
      </c>
      <c r="CK36" s="134">
        <f t="shared" si="194"/>
        <v>0</v>
      </c>
      <c r="CL36" s="134">
        <f t="shared" si="194"/>
        <v>0</v>
      </c>
      <c r="CM36" s="135">
        <f t="shared" si="46"/>
        <v>1</v>
      </c>
      <c r="CN36" s="135">
        <f t="shared" si="46"/>
        <v>1</v>
      </c>
      <c r="CO36" s="134">
        <f>'бюджет округа (района)'!AV36+'бюджеты поселений'!AV36</f>
        <v>0</v>
      </c>
      <c r="CP36" s="137">
        <f>'бюджет округа (района)'!AV36</f>
        <v>0</v>
      </c>
      <c r="CQ36" s="134">
        <f t="shared" si="195"/>
        <v>0</v>
      </c>
      <c r="CR36" s="134">
        <f t="shared" si="195"/>
        <v>0</v>
      </c>
      <c r="CS36" s="135">
        <f t="shared" si="48"/>
        <v>1</v>
      </c>
      <c r="CT36" s="135">
        <f t="shared" si="48"/>
        <v>1</v>
      </c>
      <c r="CU36" s="134">
        <f>'бюджет округа (района)'!AY36+'бюджеты поселений'!AY36</f>
        <v>0</v>
      </c>
      <c r="CV36" s="137">
        <f>'бюджет округа (района)'!AY36</f>
        <v>0</v>
      </c>
      <c r="CW36" s="134">
        <f t="shared" si="196"/>
        <v>0</v>
      </c>
      <c r="CX36" s="134">
        <f t="shared" si="196"/>
        <v>0</v>
      </c>
      <c r="CY36" s="135">
        <f t="shared" si="50"/>
        <v>1</v>
      </c>
      <c r="CZ36" s="135">
        <f t="shared" si="50"/>
        <v>1</v>
      </c>
      <c r="DA36" s="134">
        <f>'бюджет округа (района)'!BB36+'бюджеты поселений'!BB36</f>
        <v>0</v>
      </c>
      <c r="DB36" s="137">
        <f>'бюджет округа (района)'!BB36</f>
        <v>0</v>
      </c>
      <c r="DC36" s="134">
        <f t="shared" si="197"/>
        <v>0</v>
      </c>
      <c r="DD36" s="134">
        <f t="shared" si="197"/>
        <v>0</v>
      </c>
      <c r="DE36" s="135">
        <f t="shared" si="52"/>
        <v>1</v>
      </c>
      <c r="DF36" s="135">
        <f t="shared" si="52"/>
        <v>1</v>
      </c>
      <c r="DG36" s="134">
        <f>'бюджет округа (района)'!BE36+'бюджеты поселений'!BE36</f>
        <v>0</v>
      </c>
      <c r="DH36" s="137">
        <f>'бюджет округа (района)'!BE36</f>
        <v>0</v>
      </c>
      <c r="DI36" s="134">
        <f t="shared" si="198"/>
        <v>0</v>
      </c>
      <c r="DJ36" s="134">
        <f t="shared" si="198"/>
        <v>0</v>
      </c>
      <c r="DK36" s="135">
        <f t="shared" si="54"/>
        <v>1</v>
      </c>
      <c r="DL36" s="135">
        <f t="shared" si="54"/>
        <v>1</v>
      </c>
      <c r="DM36" s="134">
        <f>'бюджет округа (района)'!BH36+'бюджеты поселений'!BH36</f>
        <v>0</v>
      </c>
      <c r="DN36" s="137">
        <f>'бюджет округа (района)'!BH36</f>
        <v>0</v>
      </c>
      <c r="DO36" s="134">
        <f>'бюджет округа (района)'!BI36+'бюджеты поселений'!BI36</f>
        <v>0</v>
      </c>
      <c r="DP36" s="137">
        <f>'бюджет округа (района)'!BI36</f>
        <v>0</v>
      </c>
      <c r="DQ36" s="134">
        <f>'бюджет округа (района)'!BJ36+'бюджеты поселений'!BJ36</f>
        <v>0</v>
      </c>
      <c r="DR36" s="137">
        <f>'бюджет округа (района)'!BJ36</f>
        <v>0</v>
      </c>
      <c r="DS36" s="135">
        <f>IF($AY$36=0,1,DQ36/$AY$36-1)</f>
        <v>1</v>
      </c>
      <c r="DT36" s="135">
        <f>IF($AZ$36=0,1,DR36/$AZ$36-1)</f>
        <v>1</v>
      </c>
      <c r="DU36" s="135">
        <f t="shared" si="58"/>
        <v>1</v>
      </c>
      <c r="DV36" s="135">
        <f t="shared" si="59"/>
        <v>1</v>
      </c>
      <c r="DW36" s="167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</row>
    <row r="37" spans="1:268" s="18" customFormat="1" ht="23.25" customHeight="1">
      <c r="A37" s="217" t="s">
        <v>49</v>
      </c>
      <c r="B37" s="218"/>
      <c r="C37" s="130">
        <f>C38+C43+C44+C45+C46+C47</f>
        <v>0</v>
      </c>
      <c r="D37" s="130">
        <f t="shared" ref="D37:AV37" si="200">D38+D43+D44+D45+D46+D47</f>
        <v>0</v>
      </c>
      <c r="E37" s="130">
        <f t="shared" si="200"/>
        <v>0</v>
      </c>
      <c r="F37" s="130">
        <f t="shared" si="200"/>
        <v>0</v>
      </c>
      <c r="G37" s="130">
        <f>G38+G43+G44+G45+G46+G47</f>
        <v>0</v>
      </c>
      <c r="H37" s="130">
        <f t="shared" ref="H37" si="201">H38+H43+H44+H45+H46+H47</f>
        <v>0</v>
      </c>
      <c r="I37" s="130">
        <f>I38+I43+I44+I45+I46+I47</f>
        <v>0</v>
      </c>
      <c r="J37" s="130">
        <f t="shared" ref="J37" si="202">J38+J43+J44+J45+J46+J47</f>
        <v>0</v>
      </c>
      <c r="K37" s="130">
        <f t="shared" si="200"/>
        <v>0</v>
      </c>
      <c r="L37" s="130">
        <f t="shared" si="200"/>
        <v>0</v>
      </c>
      <c r="M37" s="130">
        <f>M38+M43+M44+M45+M46+M47</f>
        <v>0</v>
      </c>
      <c r="N37" s="130">
        <f t="shared" ref="N37" si="203">N38+N43+N44+N45+N46+N47</f>
        <v>0</v>
      </c>
      <c r="O37" s="130">
        <f t="shared" si="200"/>
        <v>0</v>
      </c>
      <c r="P37" s="130">
        <f t="shared" si="200"/>
        <v>0</v>
      </c>
      <c r="Q37" s="130">
        <f>Q38+Q43+Q44+Q45+Q46+Q47</f>
        <v>0</v>
      </c>
      <c r="R37" s="130">
        <f t="shared" ref="R37" si="204">R38+R43+R44+R45+R46+R47</f>
        <v>0</v>
      </c>
      <c r="S37" s="130">
        <f t="shared" si="200"/>
        <v>0</v>
      </c>
      <c r="T37" s="130">
        <f t="shared" si="200"/>
        <v>0</v>
      </c>
      <c r="U37" s="130">
        <f>U38+U43+U44+U45+U46+U47</f>
        <v>0</v>
      </c>
      <c r="V37" s="130">
        <f t="shared" ref="V37" si="205">V38+V43+V44+V45+V46+V47</f>
        <v>0</v>
      </c>
      <c r="W37" s="130">
        <f t="shared" si="200"/>
        <v>0</v>
      </c>
      <c r="X37" s="130">
        <f t="shared" si="200"/>
        <v>0</v>
      </c>
      <c r="Y37" s="130">
        <f>Y38+Y43+Y44+Y45+Y46+Y47</f>
        <v>0</v>
      </c>
      <c r="Z37" s="130">
        <f t="shared" ref="Z37" si="206">Z38+Z43+Z44+Z45+Z46+Z47</f>
        <v>0</v>
      </c>
      <c r="AA37" s="130">
        <f t="shared" si="200"/>
        <v>0</v>
      </c>
      <c r="AB37" s="130">
        <f t="shared" si="200"/>
        <v>0</v>
      </c>
      <c r="AC37" s="130">
        <f>AC38+AC43+AC44+AC45+AC46+AC47</f>
        <v>0</v>
      </c>
      <c r="AD37" s="130">
        <f t="shared" ref="AD37" si="207">AD38+AD43+AD44+AD45+AD46+AD47</f>
        <v>0</v>
      </c>
      <c r="AE37" s="130">
        <f t="shared" si="200"/>
        <v>0</v>
      </c>
      <c r="AF37" s="130">
        <f t="shared" si="200"/>
        <v>0</v>
      </c>
      <c r="AG37" s="130">
        <f>AG38+AG43+AG44+AG45+AG46+AG47</f>
        <v>0</v>
      </c>
      <c r="AH37" s="130">
        <f t="shared" ref="AH37" si="208">AH38+AH43+AH44+AH45+AH46+AH47</f>
        <v>0</v>
      </c>
      <c r="AI37" s="130">
        <f t="shared" si="200"/>
        <v>0</v>
      </c>
      <c r="AJ37" s="130">
        <f t="shared" si="200"/>
        <v>0</v>
      </c>
      <c r="AK37" s="130">
        <f>AK38+AK43+AK44+AK45+AK46+AK47</f>
        <v>0</v>
      </c>
      <c r="AL37" s="130">
        <f t="shared" ref="AL37" si="209">AL38+AL43+AL44+AL45+AL46+AL47</f>
        <v>0</v>
      </c>
      <c r="AM37" s="130">
        <f t="shared" si="200"/>
        <v>0</v>
      </c>
      <c r="AN37" s="130">
        <f t="shared" si="200"/>
        <v>0</v>
      </c>
      <c r="AO37" s="130">
        <f>AO38+AO43+AO44+AO45+AO46+AO47</f>
        <v>0</v>
      </c>
      <c r="AP37" s="130">
        <f t="shared" ref="AP37" si="210">AP38+AP43+AP44+AP45+AP46+AP47</f>
        <v>0</v>
      </c>
      <c r="AQ37" s="130">
        <f t="shared" si="200"/>
        <v>0</v>
      </c>
      <c r="AR37" s="130">
        <f t="shared" si="200"/>
        <v>0</v>
      </c>
      <c r="AS37" s="130">
        <f>AS38+AS43+AS44+AS45+AS46+AS47</f>
        <v>0</v>
      </c>
      <c r="AT37" s="130">
        <f t="shared" ref="AT37" si="211">AT38+AT43+AT44+AT45+AT46+AT47</f>
        <v>0</v>
      </c>
      <c r="AU37" s="130">
        <f t="shared" si="200"/>
        <v>0</v>
      </c>
      <c r="AV37" s="130">
        <f t="shared" si="200"/>
        <v>0</v>
      </c>
      <c r="AW37" s="130">
        <f>AW38+AW43+AW44+AW45+AW46+AW47</f>
        <v>0</v>
      </c>
      <c r="AX37" s="130">
        <f t="shared" ref="AX37" si="212">AX38+AX43+AX44+AX45+AX46+AX47</f>
        <v>0</v>
      </c>
      <c r="AY37" s="130">
        <f>AY38+AY43+AY44+AY45+AY46+AY47</f>
        <v>0</v>
      </c>
      <c r="AZ37" s="130">
        <f t="shared" ref="AZ37" si="213">AZ38+AZ43+AZ44+AZ45+AZ46+AZ47</f>
        <v>0</v>
      </c>
      <c r="BA37" s="131">
        <f t="shared" si="173"/>
        <v>1</v>
      </c>
      <c r="BB37" s="131">
        <f t="shared" si="173"/>
        <v>1</v>
      </c>
      <c r="BC37" s="130">
        <f>BC38+BC43+BC44+BC45+BC46+BC47</f>
        <v>0</v>
      </c>
      <c r="BD37" s="130">
        <f t="shared" ref="BD37" si="214">BD38+BD43+BD44+BD45+BD46+BD47</f>
        <v>0</v>
      </c>
      <c r="BE37" s="130">
        <f>BE38+BE43+BE44+BE45+BE46+BE47</f>
        <v>0</v>
      </c>
      <c r="BF37" s="130">
        <f t="shared" ref="BF37:DJ37" si="215">BF38+BF43+BF44+BF45+BF46+BF47</f>
        <v>0</v>
      </c>
      <c r="BG37" s="130">
        <f t="shared" si="215"/>
        <v>0</v>
      </c>
      <c r="BH37" s="130">
        <f t="shared" si="215"/>
        <v>0</v>
      </c>
      <c r="BI37" s="131">
        <f t="shared" si="36"/>
        <v>1</v>
      </c>
      <c r="BJ37" s="131">
        <f t="shared" si="36"/>
        <v>1</v>
      </c>
      <c r="BK37" s="130">
        <f>BK38+BK43+BK44+BK45+BK46+BK47</f>
        <v>0</v>
      </c>
      <c r="BL37" s="130">
        <f t="shared" ref="BL37" si="216">BL38+BL43+BL44+BL45+BL46+BL47</f>
        <v>0</v>
      </c>
      <c r="BM37" s="130">
        <f t="shared" si="215"/>
        <v>0</v>
      </c>
      <c r="BN37" s="130">
        <f t="shared" si="215"/>
        <v>0</v>
      </c>
      <c r="BO37" s="131">
        <f t="shared" si="38"/>
        <v>1</v>
      </c>
      <c r="BP37" s="131">
        <f t="shared" si="38"/>
        <v>1</v>
      </c>
      <c r="BQ37" s="130">
        <f>BQ38+BQ43+BQ44+BQ45+BQ46+BQ47</f>
        <v>0</v>
      </c>
      <c r="BR37" s="130">
        <f t="shared" ref="BR37" si="217">BR38+BR43+BR44+BR45+BR46+BR47</f>
        <v>0</v>
      </c>
      <c r="BS37" s="130">
        <f t="shared" si="215"/>
        <v>0</v>
      </c>
      <c r="BT37" s="130">
        <f t="shared" si="215"/>
        <v>0</v>
      </c>
      <c r="BU37" s="131">
        <f t="shared" si="40"/>
        <v>1</v>
      </c>
      <c r="BV37" s="131">
        <f t="shared" si="40"/>
        <v>1</v>
      </c>
      <c r="BW37" s="130">
        <f>BW38+BW43+BW44+BW45+BW46+BW47</f>
        <v>0</v>
      </c>
      <c r="BX37" s="130">
        <f t="shared" ref="BX37" si="218">BX38+BX43+BX44+BX45+BX46+BX47</f>
        <v>0</v>
      </c>
      <c r="BY37" s="130">
        <f t="shared" si="215"/>
        <v>0</v>
      </c>
      <c r="BZ37" s="130">
        <f t="shared" si="215"/>
        <v>0</v>
      </c>
      <c r="CA37" s="131">
        <f t="shared" si="42"/>
        <v>1</v>
      </c>
      <c r="CB37" s="131">
        <f t="shared" si="42"/>
        <v>1</v>
      </c>
      <c r="CC37" s="130">
        <f>CC38+CC43+CC44+CC45+CC46+CC47</f>
        <v>0</v>
      </c>
      <c r="CD37" s="130">
        <f t="shared" ref="CD37" si="219">CD38+CD43+CD44+CD45+CD46+CD47</f>
        <v>0</v>
      </c>
      <c r="CE37" s="130">
        <f t="shared" si="215"/>
        <v>0</v>
      </c>
      <c r="CF37" s="130">
        <f t="shared" si="215"/>
        <v>0</v>
      </c>
      <c r="CG37" s="131">
        <f t="shared" si="44"/>
        <v>1</v>
      </c>
      <c r="CH37" s="131">
        <f t="shared" si="44"/>
        <v>1</v>
      </c>
      <c r="CI37" s="130">
        <f>CI38+CI43+CI44+CI45+CI46+CI47</f>
        <v>0</v>
      </c>
      <c r="CJ37" s="130">
        <f t="shared" ref="CJ37" si="220">CJ38+CJ43+CJ44+CJ45+CJ46+CJ47</f>
        <v>0</v>
      </c>
      <c r="CK37" s="130">
        <f t="shared" si="215"/>
        <v>0</v>
      </c>
      <c r="CL37" s="130">
        <f t="shared" si="215"/>
        <v>0</v>
      </c>
      <c r="CM37" s="131">
        <f t="shared" si="46"/>
        <v>1</v>
      </c>
      <c r="CN37" s="131">
        <f t="shared" si="46"/>
        <v>1</v>
      </c>
      <c r="CO37" s="130">
        <f>CO38+CO43+CO44+CO45+CO46+CO47</f>
        <v>0</v>
      </c>
      <c r="CP37" s="130">
        <f t="shared" ref="CP37" si="221">CP38+CP43+CP44+CP45+CP46+CP47</f>
        <v>0</v>
      </c>
      <c r="CQ37" s="130">
        <f t="shared" si="215"/>
        <v>0</v>
      </c>
      <c r="CR37" s="130">
        <f t="shared" si="215"/>
        <v>0</v>
      </c>
      <c r="CS37" s="131">
        <f t="shared" si="48"/>
        <v>1</v>
      </c>
      <c r="CT37" s="131">
        <f t="shared" si="48"/>
        <v>1</v>
      </c>
      <c r="CU37" s="130">
        <f>CU38+CU43+CU44+CU45+CU46+CU47</f>
        <v>0</v>
      </c>
      <c r="CV37" s="130">
        <f t="shared" ref="CV37" si="222">CV38+CV43+CV44+CV45+CV46+CV47</f>
        <v>0</v>
      </c>
      <c r="CW37" s="130">
        <f t="shared" si="215"/>
        <v>0</v>
      </c>
      <c r="CX37" s="130">
        <f t="shared" si="215"/>
        <v>0</v>
      </c>
      <c r="CY37" s="131">
        <f t="shared" si="50"/>
        <v>1</v>
      </c>
      <c r="CZ37" s="131">
        <f t="shared" si="50"/>
        <v>1</v>
      </c>
      <c r="DA37" s="130">
        <f>DA38+DA43+DA44+DA45+DA46+DA47</f>
        <v>0</v>
      </c>
      <c r="DB37" s="130">
        <f t="shared" ref="DB37" si="223">DB38+DB43+DB44+DB45+DB46+DB47</f>
        <v>0</v>
      </c>
      <c r="DC37" s="130">
        <f t="shared" si="215"/>
        <v>0</v>
      </c>
      <c r="DD37" s="130">
        <f t="shared" si="215"/>
        <v>0</v>
      </c>
      <c r="DE37" s="131">
        <f t="shared" si="52"/>
        <v>1</v>
      </c>
      <c r="DF37" s="131">
        <f t="shared" si="52"/>
        <v>1</v>
      </c>
      <c r="DG37" s="130">
        <f>DG38+DG43+DG44+DG45+DG46+DG47</f>
        <v>0</v>
      </c>
      <c r="DH37" s="130">
        <f t="shared" ref="DH37" si="224">DH38+DH43+DH44+DH45+DH46+DH47</f>
        <v>0</v>
      </c>
      <c r="DI37" s="130">
        <f t="shared" si="215"/>
        <v>0</v>
      </c>
      <c r="DJ37" s="130">
        <f t="shared" si="215"/>
        <v>0</v>
      </c>
      <c r="DK37" s="131">
        <f t="shared" si="54"/>
        <v>1</v>
      </c>
      <c r="DL37" s="131">
        <f t="shared" si="54"/>
        <v>1</v>
      </c>
      <c r="DM37" s="130">
        <f>DM38+DM43+DM44+DM45+DM46+DM47</f>
        <v>0</v>
      </c>
      <c r="DN37" s="130">
        <f t="shared" ref="DN37" si="225">DN38+DN43+DN44+DN45+DN46+DN47</f>
        <v>0</v>
      </c>
      <c r="DO37" s="130">
        <f>DO38+DO43+DO44+DO45+DO46+DO47</f>
        <v>0</v>
      </c>
      <c r="DP37" s="130">
        <f t="shared" ref="DP37" si="226">DP38+DP43+DP44+DP45+DP46+DP47</f>
        <v>0</v>
      </c>
      <c r="DQ37" s="130">
        <f>DQ38+DQ43+DQ44+DQ45+DQ46+DQ47</f>
        <v>0</v>
      </c>
      <c r="DR37" s="130">
        <f t="shared" ref="DR37" si="227">DR38+DR43+DR44+DR45+DR46+DR47</f>
        <v>0</v>
      </c>
      <c r="DS37" s="131">
        <f>IF($AY$37=0,1,DQ37/$AY$37-1)</f>
        <v>1</v>
      </c>
      <c r="DT37" s="131">
        <f>IF($AZ$37=0,1,DR37/$AZ$37-1)</f>
        <v>1</v>
      </c>
      <c r="DU37" s="131">
        <f t="shared" si="58"/>
        <v>1</v>
      </c>
      <c r="DV37" s="131">
        <f t="shared" si="59"/>
        <v>1</v>
      </c>
      <c r="DW37" s="165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</row>
    <row r="38" spans="1:268" s="68" customFormat="1" ht="19.5" customHeight="1">
      <c r="A38" s="248" t="s">
        <v>100</v>
      </c>
      <c r="B38" s="249"/>
      <c r="C38" s="140">
        <f>C39+C40+C41+C42</f>
        <v>0</v>
      </c>
      <c r="D38" s="140">
        <f t="shared" ref="D38:AV38" si="228">D39+D40+D41+D42</f>
        <v>0</v>
      </c>
      <c r="E38" s="140">
        <f t="shared" si="228"/>
        <v>0</v>
      </c>
      <c r="F38" s="140">
        <f t="shared" si="228"/>
        <v>0</v>
      </c>
      <c r="G38" s="140">
        <f>G39+G40+G41+G42</f>
        <v>0</v>
      </c>
      <c r="H38" s="140">
        <f t="shared" ref="H38" si="229">H39+H40+H41+H42</f>
        <v>0</v>
      </c>
      <c r="I38" s="140">
        <f>I39+I40+I41+I42</f>
        <v>0</v>
      </c>
      <c r="J38" s="140">
        <f t="shared" ref="J38" si="230">J39+J40+J41+J42</f>
        <v>0</v>
      </c>
      <c r="K38" s="140">
        <f t="shared" si="228"/>
        <v>0</v>
      </c>
      <c r="L38" s="140">
        <f t="shared" si="228"/>
        <v>0</v>
      </c>
      <c r="M38" s="140">
        <f>M39+M40+M41+M42</f>
        <v>0</v>
      </c>
      <c r="N38" s="140">
        <f t="shared" ref="N38" si="231">N39+N40+N41+N42</f>
        <v>0</v>
      </c>
      <c r="O38" s="140">
        <f t="shared" si="228"/>
        <v>0</v>
      </c>
      <c r="P38" s="140">
        <f t="shared" si="228"/>
        <v>0</v>
      </c>
      <c r="Q38" s="140">
        <f>Q39+Q40+Q41+Q42</f>
        <v>0</v>
      </c>
      <c r="R38" s="140">
        <f t="shared" ref="R38" si="232">R39+R40+R41+R42</f>
        <v>0</v>
      </c>
      <c r="S38" s="140">
        <f t="shared" si="228"/>
        <v>0</v>
      </c>
      <c r="T38" s="140">
        <f t="shared" si="228"/>
        <v>0</v>
      </c>
      <c r="U38" s="140">
        <f>U39+U40+U41+U42</f>
        <v>0</v>
      </c>
      <c r="V38" s="140">
        <f t="shared" ref="V38" si="233">V39+V40+V41+V42</f>
        <v>0</v>
      </c>
      <c r="W38" s="140">
        <f t="shared" si="228"/>
        <v>0</v>
      </c>
      <c r="X38" s="140">
        <f t="shared" si="228"/>
        <v>0</v>
      </c>
      <c r="Y38" s="140">
        <f>Y39+Y40+Y41+Y42</f>
        <v>0</v>
      </c>
      <c r="Z38" s="140">
        <f t="shared" ref="Z38" si="234">Z39+Z40+Z41+Z42</f>
        <v>0</v>
      </c>
      <c r="AA38" s="140">
        <f t="shared" si="228"/>
        <v>0</v>
      </c>
      <c r="AB38" s="140">
        <f t="shared" si="228"/>
        <v>0</v>
      </c>
      <c r="AC38" s="140">
        <f>AC39+AC40+AC41+AC42</f>
        <v>0</v>
      </c>
      <c r="AD38" s="140">
        <f t="shared" ref="AD38" si="235">AD39+AD40+AD41+AD42</f>
        <v>0</v>
      </c>
      <c r="AE38" s="140">
        <f t="shared" si="228"/>
        <v>0</v>
      </c>
      <c r="AF38" s="140">
        <f t="shared" si="228"/>
        <v>0</v>
      </c>
      <c r="AG38" s="140">
        <f>AG39+AG40+AG41+AG42</f>
        <v>0</v>
      </c>
      <c r="AH38" s="140">
        <f t="shared" ref="AH38" si="236">AH39+AH40+AH41+AH42</f>
        <v>0</v>
      </c>
      <c r="AI38" s="140">
        <f t="shared" si="228"/>
        <v>0</v>
      </c>
      <c r="AJ38" s="140">
        <f t="shared" si="228"/>
        <v>0</v>
      </c>
      <c r="AK38" s="140">
        <f>AK39+AK40+AK41+AK42</f>
        <v>0</v>
      </c>
      <c r="AL38" s="140">
        <f t="shared" ref="AL38" si="237">AL39+AL40+AL41+AL42</f>
        <v>0</v>
      </c>
      <c r="AM38" s="140">
        <f t="shared" si="228"/>
        <v>0</v>
      </c>
      <c r="AN38" s="140">
        <f t="shared" si="228"/>
        <v>0</v>
      </c>
      <c r="AO38" s="140">
        <f>AO39+AO40+AO41+AO42</f>
        <v>0</v>
      </c>
      <c r="AP38" s="140">
        <f t="shared" ref="AP38" si="238">AP39+AP40+AP41+AP42</f>
        <v>0</v>
      </c>
      <c r="AQ38" s="140">
        <f t="shared" si="228"/>
        <v>0</v>
      </c>
      <c r="AR38" s="140">
        <f t="shared" si="228"/>
        <v>0</v>
      </c>
      <c r="AS38" s="140">
        <f>AS39+AS40+AS41+AS42</f>
        <v>0</v>
      </c>
      <c r="AT38" s="140">
        <f t="shared" ref="AT38" si="239">AT39+AT40+AT41+AT42</f>
        <v>0</v>
      </c>
      <c r="AU38" s="140">
        <f t="shared" si="228"/>
        <v>0</v>
      </c>
      <c r="AV38" s="140">
        <f t="shared" si="228"/>
        <v>0</v>
      </c>
      <c r="AW38" s="140">
        <f>AW39+AW40+AW41+AW42</f>
        <v>0</v>
      </c>
      <c r="AX38" s="140">
        <f t="shared" ref="AX38" si="240">AX39+AX40+AX41+AX42</f>
        <v>0</v>
      </c>
      <c r="AY38" s="140">
        <f>AY39+AY40+AY41+AY42</f>
        <v>0</v>
      </c>
      <c r="AZ38" s="140">
        <f t="shared" ref="AZ38" si="241">AZ39+AZ40+AZ41+AZ42</f>
        <v>0</v>
      </c>
      <c r="BA38" s="133">
        <f t="shared" si="173"/>
        <v>1</v>
      </c>
      <c r="BB38" s="133">
        <f t="shared" si="173"/>
        <v>1</v>
      </c>
      <c r="BC38" s="140">
        <f>BC39+BC40+BC41+BC42</f>
        <v>0</v>
      </c>
      <c r="BD38" s="140">
        <f t="shared" ref="BD38" si="242">BD39+BD40+BD41+BD42</f>
        <v>0</v>
      </c>
      <c r="BE38" s="140">
        <f>BE39+BE40+BE41+BE42</f>
        <v>0</v>
      </c>
      <c r="BF38" s="140">
        <f t="shared" ref="BF38:DJ38" si="243">BF39+BF40+BF41+BF42</f>
        <v>0</v>
      </c>
      <c r="BG38" s="140">
        <f t="shared" si="243"/>
        <v>0</v>
      </c>
      <c r="BH38" s="140">
        <f t="shared" si="243"/>
        <v>0</v>
      </c>
      <c r="BI38" s="133">
        <f t="shared" si="36"/>
        <v>1</v>
      </c>
      <c r="BJ38" s="133">
        <f t="shared" si="36"/>
        <v>1</v>
      </c>
      <c r="BK38" s="140">
        <f>BK39+BK40+BK41+BK42</f>
        <v>0</v>
      </c>
      <c r="BL38" s="140">
        <f t="shared" ref="BL38" si="244">BL39+BL40+BL41+BL42</f>
        <v>0</v>
      </c>
      <c r="BM38" s="140">
        <f t="shared" si="243"/>
        <v>0</v>
      </c>
      <c r="BN38" s="140">
        <f t="shared" si="243"/>
        <v>0</v>
      </c>
      <c r="BO38" s="133">
        <f t="shared" si="38"/>
        <v>1</v>
      </c>
      <c r="BP38" s="133">
        <f t="shared" si="38"/>
        <v>1</v>
      </c>
      <c r="BQ38" s="140">
        <f>BQ39+BQ40+BQ41+BQ42</f>
        <v>0</v>
      </c>
      <c r="BR38" s="140">
        <f t="shared" ref="BR38" si="245">BR39+BR40+BR41+BR42</f>
        <v>0</v>
      </c>
      <c r="BS38" s="140">
        <f t="shared" si="243"/>
        <v>0</v>
      </c>
      <c r="BT38" s="140">
        <f t="shared" si="243"/>
        <v>0</v>
      </c>
      <c r="BU38" s="133">
        <f t="shared" si="40"/>
        <v>1</v>
      </c>
      <c r="BV38" s="133">
        <f t="shared" si="40"/>
        <v>1</v>
      </c>
      <c r="BW38" s="140">
        <f>BW39+BW40+BW41+BW42</f>
        <v>0</v>
      </c>
      <c r="BX38" s="140">
        <f t="shared" ref="BX38" si="246">BX39+BX40+BX41+BX42</f>
        <v>0</v>
      </c>
      <c r="BY38" s="140">
        <f t="shared" si="243"/>
        <v>0</v>
      </c>
      <c r="BZ38" s="140">
        <f t="shared" si="243"/>
        <v>0</v>
      </c>
      <c r="CA38" s="133">
        <f t="shared" si="42"/>
        <v>1</v>
      </c>
      <c r="CB38" s="133">
        <f t="shared" si="42"/>
        <v>1</v>
      </c>
      <c r="CC38" s="140">
        <f>CC39+CC40+CC41+CC42</f>
        <v>0</v>
      </c>
      <c r="CD38" s="140">
        <f t="shared" ref="CD38" si="247">CD39+CD40+CD41+CD42</f>
        <v>0</v>
      </c>
      <c r="CE38" s="140">
        <f t="shared" si="243"/>
        <v>0</v>
      </c>
      <c r="CF38" s="140">
        <f t="shared" si="243"/>
        <v>0</v>
      </c>
      <c r="CG38" s="133">
        <f t="shared" si="44"/>
        <v>1</v>
      </c>
      <c r="CH38" s="133">
        <f t="shared" si="44"/>
        <v>1</v>
      </c>
      <c r="CI38" s="140">
        <f>CI39+CI40+CI41+CI42</f>
        <v>0</v>
      </c>
      <c r="CJ38" s="140">
        <f t="shared" ref="CJ38" si="248">CJ39+CJ40+CJ41+CJ42</f>
        <v>0</v>
      </c>
      <c r="CK38" s="140">
        <f t="shared" si="243"/>
        <v>0</v>
      </c>
      <c r="CL38" s="140">
        <f t="shared" si="243"/>
        <v>0</v>
      </c>
      <c r="CM38" s="133">
        <f t="shared" si="46"/>
        <v>1</v>
      </c>
      <c r="CN38" s="133">
        <f t="shared" si="46"/>
        <v>1</v>
      </c>
      <c r="CO38" s="140">
        <f>CO39+CO40+CO41+CO42</f>
        <v>0</v>
      </c>
      <c r="CP38" s="140">
        <f t="shared" ref="CP38" si="249">CP39+CP40+CP41+CP42</f>
        <v>0</v>
      </c>
      <c r="CQ38" s="140">
        <f t="shared" si="243"/>
        <v>0</v>
      </c>
      <c r="CR38" s="140">
        <f t="shared" si="243"/>
        <v>0</v>
      </c>
      <c r="CS38" s="133">
        <f t="shared" si="48"/>
        <v>1</v>
      </c>
      <c r="CT38" s="133">
        <f t="shared" si="48"/>
        <v>1</v>
      </c>
      <c r="CU38" s="140">
        <f>CU39+CU40+CU41+CU42</f>
        <v>0</v>
      </c>
      <c r="CV38" s="140">
        <f t="shared" ref="CV38" si="250">CV39+CV40+CV41+CV42</f>
        <v>0</v>
      </c>
      <c r="CW38" s="140">
        <f t="shared" si="243"/>
        <v>0</v>
      </c>
      <c r="CX38" s="140">
        <f t="shared" si="243"/>
        <v>0</v>
      </c>
      <c r="CY38" s="133">
        <f t="shared" si="50"/>
        <v>1</v>
      </c>
      <c r="CZ38" s="133">
        <f t="shared" si="50"/>
        <v>1</v>
      </c>
      <c r="DA38" s="140">
        <f>DA39+DA40+DA41+DA42</f>
        <v>0</v>
      </c>
      <c r="DB38" s="140">
        <f t="shared" ref="DB38" si="251">DB39+DB40+DB41+DB42</f>
        <v>0</v>
      </c>
      <c r="DC38" s="140">
        <f t="shared" si="243"/>
        <v>0</v>
      </c>
      <c r="DD38" s="140">
        <f t="shared" si="243"/>
        <v>0</v>
      </c>
      <c r="DE38" s="133">
        <f t="shared" si="52"/>
        <v>1</v>
      </c>
      <c r="DF38" s="133">
        <f t="shared" si="52"/>
        <v>1</v>
      </c>
      <c r="DG38" s="140">
        <f>DG39+DG40+DG41+DG42</f>
        <v>0</v>
      </c>
      <c r="DH38" s="140">
        <f t="shared" ref="DH38" si="252">DH39+DH40+DH41+DH42</f>
        <v>0</v>
      </c>
      <c r="DI38" s="140">
        <f t="shared" si="243"/>
        <v>0</v>
      </c>
      <c r="DJ38" s="140">
        <f t="shared" si="243"/>
        <v>0</v>
      </c>
      <c r="DK38" s="133">
        <f t="shared" si="54"/>
        <v>1</v>
      </c>
      <c r="DL38" s="133">
        <f t="shared" si="54"/>
        <v>1</v>
      </c>
      <c r="DM38" s="140">
        <f>DM39+DM40+DM41+DM42</f>
        <v>0</v>
      </c>
      <c r="DN38" s="140">
        <f t="shared" ref="DN38" si="253">DN39+DN40+DN41+DN42</f>
        <v>0</v>
      </c>
      <c r="DO38" s="140">
        <f>DO39+DO40+DO41+DO42</f>
        <v>0</v>
      </c>
      <c r="DP38" s="140">
        <f t="shared" ref="DP38" si="254">DP39+DP40+DP41+DP42</f>
        <v>0</v>
      </c>
      <c r="DQ38" s="140">
        <f>DQ39+DQ40+DQ41+DQ42</f>
        <v>0</v>
      </c>
      <c r="DR38" s="140">
        <f t="shared" ref="DR38" si="255">DR39+DR40+DR41+DR42</f>
        <v>0</v>
      </c>
      <c r="DS38" s="133">
        <f>IF($AY$38=0,1,DQ38/$AY$38-1)</f>
        <v>1</v>
      </c>
      <c r="DT38" s="133">
        <f>IF($AZ$38=0,1,DR38/$AZ$38-1)</f>
        <v>1</v>
      </c>
      <c r="DU38" s="133">
        <f t="shared" si="58"/>
        <v>1</v>
      </c>
      <c r="DV38" s="133">
        <f t="shared" si="59"/>
        <v>1</v>
      </c>
      <c r="DW38" s="166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</row>
    <row r="39" spans="1:268" s="64" customFormat="1" ht="18" customHeight="1">
      <c r="A39" s="228" t="s">
        <v>105</v>
      </c>
      <c r="B39" s="229"/>
      <c r="C39" s="134">
        <f>'бюджет округа (района)'!C39+'бюджеты поселений'!C39</f>
        <v>0</v>
      </c>
      <c r="D39" s="137">
        <f>'бюджет округа (района)'!C39</f>
        <v>0</v>
      </c>
      <c r="E39" s="134">
        <f t="shared" ref="E39:F46" si="256">G39+I39+M39+Q39+U39+Y39+AC39+AG39+AK39+AO39+AS39+AW39</f>
        <v>0</v>
      </c>
      <c r="F39" s="137">
        <f t="shared" si="256"/>
        <v>0</v>
      </c>
      <c r="G39" s="134">
        <f>'бюджет округа (района)'!E39+'бюджеты поселений'!E39</f>
        <v>0</v>
      </c>
      <c r="H39" s="137">
        <f>'бюджет округа (района)'!E39</f>
        <v>0</v>
      </c>
      <c r="I39" s="134">
        <f>'бюджет округа (района)'!F39+'бюджеты поселений'!F39</f>
        <v>0</v>
      </c>
      <c r="J39" s="137">
        <f>'бюджет округа (района)'!F39</f>
        <v>0</v>
      </c>
      <c r="K39" s="134">
        <f t="shared" si="151"/>
        <v>0</v>
      </c>
      <c r="L39" s="134">
        <f t="shared" si="151"/>
        <v>0</v>
      </c>
      <c r="M39" s="134">
        <f>'бюджет округа (района)'!H39+'бюджеты поселений'!H39</f>
        <v>0</v>
      </c>
      <c r="N39" s="137">
        <f>'бюджет округа (района)'!H39</f>
        <v>0</v>
      </c>
      <c r="O39" s="134">
        <f t="shared" si="152"/>
        <v>0</v>
      </c>
      <c r="P39" s="134">
        <f t="shared" si="152"/>
        <v>0</v>
      </c>
      <c r="Q39" s="134">
        <f>'бюджет округа (района)'!J39+'бюджеты поселений'!J39</f>
        <v>0</v>
      </c>
      <c r="R39" s="137">
        <f>'бюджет округа (района)'!J39</f>
        <v>0</v>
      </c>
      <c r="S39" s="134">
        <f t="shared" si="153"/>
        <v>0</v>
      </c>
      <c r="T39" s="134">
        <f t="shared" si="153"/>
        <v>0</v>
      </c>
      <c r="U39" s="134">
        <f>'бюджет округа (района)'!L39+'бюджеты поселений'!L39</f>
        <v>0</v>
      </c>
      <c r="V39" s="137">
        <f>'бюджет округа (района)'!L39</f>
        <v>0</v>
      </c>
      <c r="W39" s="134">
        <f t="shared" si="154"/>
        <v>0</v>
      </c>
      <c r="X39" s="134">
        <f t="shared" si="154"/>
        <v>0</v>
      </c>
      <c r="Y39" s="134">
        <f>'бюджет округа (района)'!N39+'бюджеты поселений'!N39</f>
        <v>0</v>
      </c>
      <c r="Z39" s="137">
        <f>'бюджет округа (района)'!N39</f>
        <v>0</v>
      </c>
      <c r="AA39" s="134">
        <f t="shared" si="155"/>
        <v>0</v>
      </c>
      <c r="AB39" s="134">
        <f t="shared" si="155"/>
        <v>0</v>
      </c>
      <c r="AC39" s="134">
        <f>'бюджет округа (района)'!P39+'бюджеты поселений'!P39</f>
        <v>0</v>
      </c>
      <c r="AD39" s="137">
        <f>'бюджет округа (района)'!P39</f>
        <v>0</v>
      </c>
      <c r="AE39" s="134">
        <f t="shared" si="156"/>
        <v>0</v>
      </c>
      <c r="AF39" s="134">
        <f t="shared" si="156"/>
        <v>0</v>
      </c>
      <c r="AG39" s="134">
        <f>'бюджет округа (района)'!R39+'бюджеты поселений'!R39</f>
        <v>0</v>
      </c>
      <c r="AH39" s="137">
        <f>'бюджет округа (района)'!R39</f>
        <v>0</v>
      </c>
      <c r="AI39" s="134">
        <f t="shared" ref="AI39:AJ40" si="257">AE39+AG39</f>
        <v>0</v>
      </c>
      <c r="AJ39" s="134">
        <f t="shared" si="257"/>
        <v>0</v>
      </c>
      <c r="AK39" s="134">
        <f>'бюджет округа (района)'!T39+'бюджеты поселений'!T39</f>
        <v>0</v>
      </c>
      <c r="AL39" s="137">
        <f>'бюджет округа (района)'!T39</f>
        <v>0</v>
      </c>
      <c r="AM39" s="134">
        <f t="shared" ref="AM39:AN40" si="258">AI39+AK39</f>
        <v>0</v>
      </c>
      <c r="AN39" s="134">
        <f t="shared" si="258"/>
        <v>0</v>
      </c>
      <c r="AO39" s="134">
        <f>'бюджет округа (района)'!V39+'бюджеты поселений'!V39</f>
        <v>0</v>
      </c>
      <c r="AP39" s="137">
        <f>'бюджет округа (района)'!V39</f>
        <v>0</v>
      </c>
      <c r="AQ39" s="134">
        <f t="shared" ref="AQ39:AR40" si="259">AM39+AO39</f>
        <v>0</v>
      </c>
      <c r="AR39" s="134">
        <f t="shared" si="259"/>
        <v>0</v>
      </c>
      <c r="AS39" s="134">
        <f>'бюджет округа (района)'!X39+'бюджеты поселений'!X39</f>
        <v>0</v>
      </c>
      <c r="AT39" s="137">
        <f>'бюджет округа (района)'!X39</f>
        <v>0</v>
      </c>
      <c r="AU39" s="134">
        <f t="shared" ref="AU39:AV40" si="260">AQ39+AS39</f>
        <v>0</v>
      </c>
      <c r="AV39" s="134">
        <f t="shared" si="260"/>
        <v>0</v>
      </c>
      <c r="AW39" s="134">
        <f>'бюджет округа (района)'!Z39+'бюджеты поселений'!Z39</f>
        <v>0</v>
      </c>
      <c r="AX39" s="137">
        <f>'бюджет округа (района)'!Z39</f>
        <v>0</v>
      </c>
      <c r="AY39" s="134">
        <f>'бюджет округа (района)'!AA39+'бюджеты поселений'!AA39</f>
        <v>0</v>
      </c>
      <c r="AZ39" s="137">
        <f>'бюджет округа (района)'!AA39</f>
        <v>0</v>
      </c>
      <c r="BA39" s="135">
        <f t="shared" si="173"/>
        <v>1</v>
      </c>
      <c r="BB39" s="135">
        <f t="shared" si="173"/>
        <v>1</v>
      </c>
      <c r="BC39" s="134">
        <f>'бюджет округа (района)'!AC39+'бюджеты поселений'!AC39</f>
        <v>0</v>
      </c>
      <c r="BD39" s="137">
        <f>'бюджет округа (района)'!AC39</f>
        <v>0</v>
      </c>
      <c r="BE39" s="134">
        <f>'бюджет округа (района)'!AD39+'бюджеты поселений'!AD39</f>
        <v>0</v>
      </c>
      <c r="BF39" s="137">
        <f>'бюджет округа (района)'!AD39</f>
        <v>0</v>
      </c>
      <c r="BG39" s="134">
        <f t="shared" ref="BG39:BH42" si="261">BC39+BE39</f>
        <v>0</v>
      </c>
      <c r="BH39" s="134">
        <f t="shared" si="261"/>
        <v>0</v>
      </c>
      <c r="BI39" s="135">
        <f t="shared" si="36"/>
        <v>1</v>
      </c>
      <c r="BJ39" s="135">
        <f t="shared" si="36"/>
        <v>1</v>
      </c>
      <c r="BK39" s="134">
        <f>'бюджет округа (района)'!AG39+'бюджеты поселений'!AG39</f>
        <v>0</v>
      </c>
      <c r="BL39" s="137">
        <f>'бюджет округа (района)'!AG39</f>
        <v>0</v>
      </c>
      <c r="BM39" s="134">
        <f t="shared" ref="BM39:BN40" si="262">BG39+BK39</f>
        <v>0</v>
      </c>
      <c r="BN39" s="134">
        <f t="shared" si="262"/>
        <v>0</v>
      </c>
      <c r="BO39" s="135">
        <f t="shared" si="38"/>
        <v>1</v>
      </c>
      <c r="BP39" s="135">
        <f t="shared" si="38"/>
        <v>1</v>
      </c>
      <c r="BQ39" s="134">
        <f>'бюджет округа (района)'!AJ39+'бюджеты поселений'!AJ39</f>
        <v>0</v>
      </c>
      <c r="BR39" s="137">
        <f>'бюджет округа (района)'!AJ39</f>
        <v>0</v>
      </c>
      <c r="BS39" s="134">
        <f t="shared" ref="BS39:BT40" si="263">BM39+BQ39</f>
        <v>0</v>
      </c>
      <c r="BT39" s="134">
        <f t="shared" si="263"/>
        <v>0</v>
      </c>
      <c r="BU39" s="135">
        <f t="shared" si="40"/>
        <v>1</v>
      </c>
      <c r="BV39" s="135">
        <f t="shared" si="40"/>
        <v>1</v>
      </c>
      <c r="BW39" s="134">
        <f>'бюджет округа (района)'!AM39+'бюджеты поселений'!AM39</f>
        <v>0</v>
      </c>
      <c r="BX39" s="137">
        <f>'бюджет округа (района)'!AM39</f>
        <v>0</v>
      </c>
      <c r="BY39" s="134">
        <f t="shared" ref="BY39:BZ40" si="264">BS39+BW39</f>
        <v>0</v>
      </c>
      <c r="BZ39" s="134">
        <f t="shared" si="264"/>
        <v>0</v>
      </c>
      <c r="CA39" s="135">
        <f t="shared" si="42"/>
        <v>1</v>
      </c>
      <c r="CB39" s="135">
        <f t="shared" si="42"/>
        <v>1</v>
      </c>
      <c r="CC39" s="134">
        <f>'бюджет округа (района)'!AP39+'бюджеты поселений'!AP39</f>
        <v>0</v>
      </c>
      <c r="CD39" s="137">
        <f>'бюджет округа (района)'!AP39</f>
        <v>0</v>
      </c>
      <c r="CE39" s="134">
        <f t="shared" ref="CE39:CF40" si="265">BY39+CC39</f>
        <v>0</v>
      </c>
      <c r="CF39" s="134">
        <f t="shared" si="265"/>
        <v>0</v>
      </c>
      <c r="CG39" s="135">
        <f t="shared" si="44"/>
        <v>1</v>
      </c>
      <c r="CH39" s="135">
        <f t="shared" si="44"/>
        <v>1</v>
      </c>
      <c r="CI39" s="134">
        <f>'бюджет округа (района)'!AS39+'бюджеты поселений'!AS39</f>
        <v>0</v>
      </c>
      <c r="CJ39" s="137">
        <f>'бюджет округа (района)'!AS39</f>
        <v>0</v>
      </c>
      <c r="CK39" s="134">
        <f t="shared" ref="CK39:CL40" si="266">CE39+CI39</f>
        <v>0</v>
      </c>
      <c r="CL39" s="134">
        <f t="shared" si="266"/>
        <v>0</v>
      </c>
      <c r="CM39" s="135">
        <f t="shared" si="46"/>
        <v>1</v>
      </c>
      <c r="CN39" s="135">
        <f t="shared" si="46"/>
        <v>1</v>
      </c>
      <c r="CO39" s="134">
        <f>'бюджет округа (района)'!AV39+'бюджеты поселений'!AV39</f>
        <v>0</v>
      </c>
      <c r="CP39" s="137">
        <f>'бюджет округа (района)'!AV39</f>
        <v>0</v>
      </c>
      <c r="CQ39" s="134">
        <f t="shared" ref="CQ39:CR40" si="267">CK39+CO39</f>
        <v>0</v>
      </c>
      <c r="CR39" s="134">
        <f t="shared" si="267"/>
        <v>0</v>
      </c>
      <c r="CS39" s="135">
        <f t="shared" si="48"/>
        <v>1</v>
      </c>
      <c r="CT39" s="135">
        <f t="shared" si="48"/>
        <v>1</v>
      </c>
      <c r="CU39" s="134">
        <f>'бюджет округа (района)'!AY39+'бюджеты поселений'!AY39</f>
        <v>0</v>
      </c>
      <c r="CV39" s="137">
        <f>'бюджет округа (района)'!AY39</f>
        <v>0</v>
      </c>
      <c r="CW39" s="134">
        <f t="shared" ref="CW39:CX40" si="268">CQ39+CU39</f>
        <v>0</v>
      </c>
      <c r="CX39" s="134">
        <f t="shared" si="268"/>
        <v>0</v>
      </c>
      <c r="CY39" s="135">
        <f t="shared" si="50"/>
        <v>1</v>
      </c>
      <c r="CZ39" s="135">
        <f t="shared" si="50"/>
        <v>1</v>
      </c>
      <c r="DA39" s="134">
        <f>'бюджет округа (района)'!BB39+'бюджеты поселений'!BB39</f>
        <v>0</v>
      </c>
      <c r="DB39" s="137">
        <f>'бюджет округа (района)'!BB39</f>
        <v>0</v>
      </c>
      <c r="DC39" s="134">
        <f t="shared" ref="DC39:DD40" si="269">CW39+DA39</f>
        <v>0</v>
      </c>
      <c r="DD39" s="134">
        <f t="shared" si="269"/>
        <v>0</v>
      </c>
      <c r="DE39" s="135">
        <f t="shared" si="52"/>
        <v>1</v>
      </c>
      <c r="DF39" s="135">
        <f t="shared" si="52"/>
        <v>1</v>
      </c>
      <c r="DG39" s="134">
        <f>'бюджет округа (района)'!BE39+'бюджеты поселений'!BE39</f>
        <v>0</v>
      </c>
      <c r="DH39" s="137">
        <f>'бюджет округа (района)'!BE39</f>
        <v>0</v>
      </c>
      <c r="DI39" s="134">
        <f t="shared" ref="DI39:DJ40" si="270">DC39+DG39</f>
        <v>0</v>
      </c>
      <c r="DJ39" s="134">
        <f t="shared" si="270"/>
        <v>0</v>
      </c>
      <c r="DK39" s="135">
        <f t="shared" si="54"/>
        <v>1</v>
      </c>
      <c r="DL39" s="135">
        <f t="shared" si="54"/>
        <v>1</v>
      </c>
      <c r="DM39" s="134">
        <f>'бюджет округа (района)'!BH39+'бюджеты поселений'!BH39</f>
        <v>0</v>
      </c>
      <c r="DN39" s="137">
        <f>'бюджет округа (района)'!BH39</f>
        <v>0</v>
      </c>
      <c r="DO39" s="134">
        <f>'бюджет округа (района)'!BI39+'бюджеты поселений'!BI39</f>
        <v>0</v>
      </c>
      <c r="DP39" s="137">
        <f>'бюджет округа (района)'!BI39</f>
        <v>0</v>
      </c>
      <c r="DQ39" s="134">
        <f>'бюджет округа (района)'!BJ39+'бюджеты поселений'!BJ39</f>
        <v>0</v>
      </c>
      <c r="DR39" s="137">
        <f>'бюджет округа (района)'!BJ39</f>
        <v>0</v>
      </c>
      <c r="DS39" s="135">
        <f>IF($AY$39=0,1,DQ39/$AY$39-1)</f>
        <v>1</v>
      </c>
      <c r="DT39" s="135">
        <f>IF($AZ$39=0,1,DR39/$AZ$39-1)</f>
        <v>1</v>
      </c>
      <c r="DU39" s="135">
        <f t="shared" si="58"/>
        <v>1</v>
      </c>
      <c r="DV39" s="135">
        <f t="shared" si="59"/>
        <v>1</v>
      </c>
      <c r="DW39" s="167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28" t="s">
        <v>99</v>
      </c>
      <c r="B40" s="229"/>
      <c r="C40" s="134">
        <f>'бюджет округа (района)'!C40+'бюджеты поселений'!C40</f>
        <v>0</v>
      </c>
      <c r="D40" s="137">
        <f>'бюджет округа (района)'!C40</f>
        <v>0</v>
      </c>
      <c r="E40" s="134">
        <f t="shared" si="256"/>
        <v>0</v>
      </c>
      <c r="F40" s="137">
        <f t="shared" si="256"/>
        <v>0</v>
      </c>
      <c r="G40" s="134">
        <f>'бюджет округа (района)'!E40+'бюджеты поселений'!E40</f>
        <v>0</v>
      </c>
      <c r="H40" s="137">
        <f>'бюджет округа (района)'!E40</f>
        <v>0</v>
      </c>
      <c r="I40" s="134">
        <f>'бюджет округа (района)'!F40+'бюджеты поселений'!F40</f>
        <v>0</v>
      </c>
      <c r="J40" s="137">
        <f>'бюджет округа (района)'!F40</f>
        <v>0</v>
      </c>
      <c r="K40" s="134">
        <f t="shared" ref="K40:L42" si="271">G40+I40</f>
        <v>0</v>
      </c>
      <c r="L40" s="134">
        <f t="shared" si="271"/>
        <v>0</v>
      </c>
      <c r="M40" s="134">
        <f>'бюджет округа (района)'!H40+'бюджеты поселений'!H40</f>
        <v>0</v>
      </c>
      <c r="N40" s="137">
        <f>'бюджет округа (района)'!H40</f>
        <v>0</v>
      </c>
      <c r="O40" s="134">
        <f t="shared" si="152"/>
        <v>0</v>
      </c>
      <c r="P40" s="134">
        <f t="shared" si="152"/>
        <v>0</v>
      </c>
      <c r="Q40" s="134">
        <f>'бюджет округа (района)'!J40+'бюджеты поселений'!J40</f>
        <v>0</v>
      </c>
      <c r="R40" s="137">
        <f>'бюджет округа (района)'!J40</f>
        <v>0</v>
      </c>
      <c r="S40" s="134">
        <f t="shared" si="153"/>
        <v>0</v>
      </c>
      <c r="T40" s="134">
        <f t="shared" si="153"/>
        <v>0</v>
      </c>
      <c r="U40" s="134">
        <f>'бюджет округа (района)'!L40+'бюджеты поселений'!L40</f>
        <v>0</v>
      </c>
      <c r="V40" s="137">
        <f>'бюджет округа (района)'!L40</f>
        <v>0</v>
      </c>
      <c r="W40" s="134">
        <f t="shared" si="154"/>
        <v>0</v>
      </c>
      <c r="X40" s="134">
        <f t="shared" si="154"/>
        <v>0</v>
      </c>
      <c r="Y40" s="134">
        <f>'бюджет округа (района)'!N40+'бюджеты поселений'!N40</f>
        <v>0</v>
      </c>
      <c r="Z40" s="137">
        <f>'бюджет округа (района)'!N40</f>
        <v>0</v>
      </c>
      <c r="AA40" s="134">
        <f t="shared" si="155"/>
        <v>0</v>
      </c>
      <c r="AB40" s="134">
        <f t="shared" si="155"/>
        <v>0</v>
      </c>
      <c r="AC40" s="134">
        <f>'бюджет округа (района)'!P40+'бюджеты поселений'!P40</f>
        <v>0</v>
      </c>
      <c r="AD40" s="137">
        <f>'бюджет округа (района)'!P40</f>
        <v>0</v>
      </c>
      <c r="AE40" s="134">
        <f t="shared" si="156"/>
        <v>0</v>
      </c>
      <c r="AF40" s="134">
        <f t="shared" si="156"/>
        <v>0</v>
      </c>
      <c r="AG40" s="134">
        <f>'бюджет округа (района)'!R40+'бюджеты поселений'!R40</f>
        <v>0</v>
      </c>
      <c r="AH40" s="137">
        <f>'бюджет округа (района)'!R40</f>
        <v>0</v>
      </c>
      <c r="AI40" s="134">
        <f t="shared" si="257"/>
        <v>0</v>
      </c>
      <c r="AJ40" s="134">
        <f t="shared" si="257"/>
        <v>0</v>
      </c>
      <c r="AK40" s="134">
        <f>'бюджет округа (района)'!T40+'бюджеты поселений'!T40</f>
        <v>0</v>
      </c>
      <c r="AL40" s="137">
        <f>'бюджет округа (района)'!T40</f>
        <v>0</v>
      </c>
      <c r="AM40" s="134">
        <f t="shared" si="258"/>
        <v>0</v>
      </c>
      <c r="AN40" s="134">
        <f t="shared" si="258"/>
        <v>0</v>
      </c>
      <c r="AO40" s="134">
        <f>'бюджет округа (района)'!V40+'бюджеты поселений'!V40</f>
        <v>0</v>
      </c>
      <c r="AP40" s="137">
        <f>'бюджет округа (района)'!V40</f>
        <v>0</v>
      </c>
      <c r="AQ40" s="134">
        <f t="shared" si="259"/>
        <v>0</v>
      </c>
      <c r="AR40" s="134">
        <f t="shared" si="259"/>
        <v>0</v>
      </c>
      <c r="AS40" s="134">
        <f>'бюджет округа (района)'!X40+'бюджеты поселений'!X40</f>
        <v>0</v>
      </c>
      <c r="AT40" s="137">
        <f>'бюджет округа (района)'!X40</f>
        <v>0</v>
      </c>
      <c r="AU40" s="134">
        <f t="shared" si="260"/>
        <v>0</v>
      </c>
      <c r="AV40" s="134">
        <f t="shared" si="260"/>
        <v>0</v>
      </c>
      <c r="AW40" s="134">
        <f>'бюджет округа (района)'!Z40+'бюджеты поселений'!Z40</f>
        <v>0</v>
      </c>
      <c r="AX40" s="137">
        <f>'бюджет округа (района)'!Z40</f>
        <v>0</v>
      </c>
      <c r="AY40" s="134">
        <f>'бюджет округа (района)'!AA40+'бюджеты поселений'!AA40</f>
        <v>0</v>
      </c>
      <c r="AZ40" s="137">
        <f>'бюджет округа (района)'!AA40</f>
        <v>0</v>
      </c>
      <c r="BA40" s="135">
        <f t="shared" si="173"/>
        <v>1</v>
      </c>
      <c r="BB40" s="135">
        <f t="shared" si="173"/>
        <v>1</v>
      </c>
      <c r="BC40" s="134">
        <f>'бюджет округа (района)'!AC40+'бюджеты поселений'!AC40</f>
        <v>0</v>
      </c>
      <c r="BD40" s="137">
        <f>'бюджет округа (района)'!AC40</f>
        <v>0</v>
      </c>
      <c r="BE40" s="134">
        <f>'бюджет округа (района)'!AD40+'бюджеты поселений'!AD40</f>
        <v>0</v>
      </c>
      <c r="BF40" s="137">
        <f>'бюджет округа (района)'!AD40</f>
        <v>0</v>
      </c>
      <c r="BG40" s="134">
        <f t="shared" si="261"/>
        <v>0</v>
      </c>
      <c r="BH40" s="134">
        <f t="shared" si="261"/>
        <v>0</v>
      </c>
      <c r="BI40" s="135">
        <f t="shared" si="36"/>
        <v>1</v>
      </c>
      <c r="BJ40" s="135">
        <f t="shared" si="36"/>
        <v>1</v>
      </c>
      <c r="BK40" s="134">
        <f>'бюджет округа (района)'!AG40+'бюджеты поселений'!AG40</f>
        <v>0</v>
      </c>
      <c r="BL40" s="137">
        <f>'бюджет округа (района)'!AG40</f>
        <v>0</v>
      </c>
      <c r="BM40" s="134">
        <f t="shared" si="262"/>
        <v>0</v>
      </c>
      <c r="BN40" s="134">
        <f t="shared" si="262"/>
        <v>0</v>
      </c>
      <c r="BO40" s="135">
        <f t="shared" si="38"/>
        <v>1</v>
      </c>
      <c r="BP40" s="135">
        <f t="shared" si="38"/>
        <v>1</v>
      </c>
      <c r="BQ40" s="134">
        <f>'бюджет округа (района)'!AJ40+'бюджеты поселений'!AJ40</f>
        <v>0</v>
      </c>
      <c r="BR40" s="137">
        <f>'бюджет округа (района)'!AJ40</f>
        <v>0</v>
      </c>
      <c r="BS40" s="134">
        <f t="shared" si="263"/>
        <v>0</v>
      </c>
      <c r="BT40" s="134">
        <f t="shared" si="263"/>
        <v>0</v>
      </c>
      <c r="BU40" s="135">
        <f t="shared" si="40"/>
        <v>1</v>
      </c>
      <c r="BV40" s="135">
        <f t="shared" si="40"/>
        <v>1</v>
      </c>
      <c r="BW40" s="134">
        <f>'бюджет округа (района)'!AM40+'бюджеты поселений'!AM40</f>
        <v>0</v>
      </c>
      <c r="BX40" s="137">
        <f>'бюджет округа (района)'!AM40</f>
        <v>0</v>
      </c>
      <c r="BY40" s="134">
        <f t="shared" si="264"/>
        <v>0</v>
      </c>
      <c r="BZ40" s="134">
        <f t="shared" si="264"/>
        <v>0</v>
      </c>
      <c r="CA40" s="135">
        <f t="shared" si="42"/>
        <v>1</v>
      </c>
      <c r="CB40" s="135">
        <f t="shared" si="42"/>
        <v>1</v>
      </c>
      <c r="CC40" s="134">
        <f>'бюджет округа (района)'!AP40+'бюджеты поселений'!AP40</f>
        <v>0</v>
      </c>
      <c r="CD40" s="137">
        <f>'бюджет округа (района)'!AP40</f>
        <v>0</v>
      </c>
      <c r="CE40" s="134">
        <f t="shared" si="265"/>
        <v>0</v>
      </c>
      <c r="CF40" s="134">
        <f t="shared" si="265"/>
        <v>0</v>
      </c>
      <c r="CG40" s="135">
        <f t="shared" si="44"/>
        <v>1</v>
      </c>
      <c r="CH40" s="135">
        <f t="shared" si="44"/>
        <v>1</v>
      </c>
      <c r="CI40" s="134">
        <f>'бюджет округа (района)'!AS40+'бюджеты поселений'!AS40</f>
        <v>0</v>
      </c>
      <c r="CJ40" s="137">
        <f>'бюджет округа (района)'!AS40</f>
        <v>0</v>
      </c>
      <c r="CK40" s="134">
        <f t="shared" si="266"/>
        <v>0</v>
      </c>
      <c r="CL40" s="134">
        <f t="shared" si="266"/>
        <v>0</v>
      </c>
      <c r="CM40" s="135">
        <f t="shared" si="46"/>
        <v>1</v>
      </c>
      <c r="CN40" s="135">
        <f t="shared" si="46"/>
        <v>1</v>
      </c>
      <c r="CO40" s="134">
        <f>'бюджет округа (района)'!AV40+'бюджеты поселений'!AV40</f>
        <v>0</v>
      </c>
      <c r="CP40" s="137">
        <f>'бюджет округа (района)'!AV40</f>
        <v>0</v>
      </c>
      <c r="CQ40" s="134">
        <f t="shared" si="267"/>
        <v>0</v>
      </c>
      <c r="CR40" s="134">
        <f t="shared" si="267"/>
        <v>0</v>
      </c>
      <c r="CS40" s="135">
        <f t="shared" si="48"/>
        <v>1</v>
      </c>
      <c r="CT40" s="135">
        <f t="shared" si="48"/>
        <v>1</v>
      </c>
      <c r="CU40" s="134">
        <f>'бюджет округа (района)'!AY40+'бюджеты поселений'!AY40</f>
        <v>0</v>
      </c>
      <c r="CV40" s="137">
        <f>'бюджет округа (района)'!AY40</f>
        <v>0</v>
      </c>
      <c r="CW40" s="134">
        <f t="shared" si="268"/>
        <v>0</v>
      </c>
      <c r="CX40" s="134">
        <f t="shared" si="268"/>
        <v>0</v>
      </c>
      <c r="CY40" s="135">
        <f t="shared" si="50"/>
        <v>1</v>
      </c>
      <c r="CZ40" s="135">
        <f t="shared" si="50"/>
        <v>1</v>
      </c>
      <c r="DA40" s="134">
        <f>'бюджет округа (района)'!BB40+'бюджеты поселений'!BB40</f>
        <v>0</v>
      </c>
      <c r="DB40" s="137">
        <f>'бюджет округа (района)'!BB40</f>
        <v>0</v>
      </c>
      <c r="DC40" s="134">
        <f t="shared" si="269"/>
        <v>0</v>
      </c>
      <c r="DD40" s="134">
        <f t="shared" si="269"/>
        <v>0</v>
      </c>
      <c r="DE40" s="135">
        <f t="shared" si="52"/>
        <v>1</v>
      </c>
      <c r="DF40" s="135">
        <f t="shared" si="52"/>
        <v>1</v>
      </c>
      <c r="DG40" s="134">
        <f>'бюджет округа (района)'!BE40+'бюджеты поселений'!BE40</f>
        <v>0</v>
      </c>
      <c r="DH40" s="137">
        <f>'бюджет округа (района)'!BE40</f>
        <v>0</v>
      </c>
      <c r="DI40" s="134">
        <f t="shared" si="270"/>
        <v>0</v>
      </c>
      <c r="DJ40" s="134">
        <f t="shared" si="270"/>
        <v>0</v>
      </c>
      <c r="DK40" s="135">
        <f t="shared" si="54"/>
        <v>1</v>
      </c>
      <c r="DL40" s="135">
        <f t="shared" si="54"/>
        <v>1</v>
      </c>
      <c r="DM40" s="134">
        <f>'бюджет округа (района)'!BH40+'бюджеты поселений'!BH40</f>
        <v>0</v>
      </c>
      <c r="DN40" s="137">
        <f>'бюджет округа (района)'!BH40</f>
        <v>0</v>
      </c>
      <c r="DO40" s="134">
        <f>'бюджет округа (района)'!BI40+'бюджеты поселений'!BI40</f>
        <v>0</v>
      </c>
      <c r="DP40" s="137">
        <f>'бюджет округа (района)'!BI40</f>
        <v>0</v>
      </c>
      <c r="DQ40" s="134">
        <f>'бюджет округа (района)'!BJ40+'бюджеты поселений'!BJ40</f>
        <v>0</v>
      </c>
      <c r="DR40" s="137">
        <f>'бюджет округа (района)'!BJ40</f>
        <v>0</v>
      </c>
      <c r="DS40" s="135">
        <f>IF($AY$40=0,1,DQ40/$AY$40-1)</f>
        <v>1</v>
      </c>
      <c r="DT40" s="135">
        <f>IF($AZ$40=0,1,DR40/$AZ$40-1)</f>
        <v>1</v>
      </c>
      <c r="DU40" s="135">
        <f t="shared" si="58"/>
        <v>1</v>
      </c>
      <c r="DV40" s="135">
        <f t="shared" si="59"/>
        <v>1</v>
      </c>
      <c r="DW40" s="167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28" t="s">
        <v>95</v>
      </c>
      <c r="B41" s="229"/>
      <c r="C41" s="134">
        <f>'бюджет округа (района)'!C41+'бюджеты поселений'!C41</f>
        <v>0</v>
      </c>
      <c r="D41" s="137">
        <f>'бюджет округа (района)'!C41</f>
        <v>0</v>
      </c>
      <c r="E41" s="134">
        <f t="shared" si="256"/>
        <v>0</v>
      </c>
      <c r="F41" s="137">
        <f t="shared" si="256"/>
        <v>0</v>
      </c>
      <c r="G41" s="134">
        <f>'бюджет округа (района)'!E41+'бюджеты поселений'!E41</f>
        <v>0</v>
      </c>
      <c r="H41" s="137">
        <f>'бюджет округа (района)'!E41</f>
        <v>0</v>
      </c>
      <c r="I41" s="134">
        <f>'бюджет округа (района)'!F41+'бюджеты поселений'!F41</f>
        <v>0</v>
      </c>
      <c r="J41" s="137">
        <f>'бюджет округа (района)'!F41</f>
        <v>0</v>
      </c>
      <c r="K41" s="134">
        <f t="shared" si="271"/>
        <v>0</v>
      </c>
      <c r="L41" s="134">
        <f t="shared" si="271"/>
        <v>0</v>
      </c>
      <c r="M41" s="134">
        <f>'бюджет округа (района)'!H41+'бюджеты поселений'!H41</f>
        <v>0</v>
      </c>
      <c r="N41" s="137">
        <f>'бюджет округа (района)'!H41</f>
        <v>0</v>
      </c>
      <c r="O41" s="134"/>
      <c r="P41" s="134"/>
      <c r="Q41" s="134">
        <f>'бюджет округа (района)'!J41+'бюджеты поселений'!J41</f>
        <v>0</v>
      </c>
      <c r="R41" s="137">
        <f>'бюджет округа (района)'!J41</f>
        <v>0</v>
      </c>
      <c r="S41" s="134"/>
      <c r="T41" s="134"/>
      <c r="U41" s="134">
        <f>'бюджет округа (района)'!L41+'бюджеты поселений'!L41</f>
        <v>0</v>
      </c>
      <c r="V41" s="137">
        <f>'бюджет округа (района)'!L41</f>
        <v>0</v>
      </c>
      <c r="W41" s="134"/>
      <c r="X41" s="134"/>
      <c r="Y41" s="134">
        <f>'бюджет округа (района)'!N41+'бюджеты поселений'!N41</f>
        <v>0</v>
      </c>
      <c r="Z41" s="137">
        <f>'бюджет округа (района)'!N41</f>
        <v>0</v>
      </c>
      <c r="AA41" s="134"/>
      <c r="AB41" s="134"/>
      <c r="AC41" s="134">
        <f>'бюджет округа (района)'!P41+'бюджеты поселений'!P41</f>
        <v>0</v>
      </c>
      <c r="AD41" s="137">
        <f>'бюджет округа (района)'!P41</f>
        <v>0</v>
      </c>
      <c r="AE41" s="134"/>
      <c r="AF41" s="134"/>
      <c r="AG41" s="134">
        <f>'бюджет округа (района)'!R41+'бюджеты поселений'!R41</f>
        <v>0</v>
      </c>
      <c r="AH41" s="137">
        <f>'бюджет округа (района)'!R41</f>
        <v>0</v>
      </c>
      <c r="AI41" s="134"/>
      <c r="AJ41" s="134"/>
      <c r="AK41" s="134">
        <f>'бюджет округа (района)'!T41+'бюджеты поселений'!T41</f>
        <v>0</v>
      </c>
      <c r="AL41" s="137">
        <f>'бюджет округа (района)'!T41</f>
        <v>0</v>
      </c>
      <c r="AM41" s="134"/>
      <c r="AN41" s="134"/>
      <c r="AO41" s="134">
        <f>'бюджет округа (района)'!V41+'бюджеты поселений'!V41</f>
        <v>0</v>
      </c>
      <c r="AP41" s="137">
        <f>'бюджет округа (района)'!V41</f>
        <v>0</v>
      </c>
      <c r="AQ41" s="134"/>
      <c r="AR41" s="134"/>
      <c r="AS41" s="134">
        <f>'бюджет округа (района)'!X41+'бюджеты поселений'!X41</f>
        <v>0</v>
      </c>
      <c r="AT41" s="137">
        <f>'бюджет округа (района)'!X41</f>
        <v>0</v>
      </c>
      <c r="AU41" s="134"/>
      <c r="AV41" s="134"/>
      <c r="AW41" s="134">
        <f>'бюджет округа (района)'!Z41+'бюджеты поселений'!Z41</f>
        <v>0</v>
      </c>
      <c r="AX41" s="137">
        <f>'бюджет округа (района)'!Z41</f>
        <v>0</v>
      </c>
      <c r="AY41" s="134">
        <f>'бюджет округа (района)'!AA41+'бюджеты поселений'!AA41</f>
        <v>0</v>
      </c>
      <c r="AZ41" s="137">
        <f>'бюджет округа (района)'!AA41</f>
        <v>0</v>
      </c>
      <c r="BA41" s="135">
        <f t="shared" si="173"/>
        <v>1</v>
      </c>
      <c r="BB41" s="135">
        <f t="shared" si="173"/>
        <v>1</v>
      </c>
      <c r="BC41" s="134">
        <f>'бюджет округа (района)'!AC41+'бюджеты поселений'!AC41</f>
        <v>0</v>
      </c>
      <c r="BD41" s="137">
        <f>'бюджет округа (района)'!AC41</f>
        <v>0</v>
      </c>
      <c r="BE41" s="134">
        <f>'бюджет округа (района)'!AD41+'бюджеты поселений'!AD41</f>
        <v>0</v>
      </c>
      <c r="BF41" s="137">
        <f>'бюджет округа (района)'!AD41</f>
        <v>0</v>
      </c>
      <c r="BG41" s="134">
        <f t="shared" si="261"/>
        <v>0</v>
      </c>
      <c r="BH41" s="134">
        <f t="shared" si="261"/>
        <v>0</v>
      </c>
      <c r="BI41" s="135">
        <f t="shared" ref="BI41:BJ62" si="272">IF(K41=0,1,BG41/K41-1)</f>
        <v>1</v>
      </c>
      <c r="BJ41" s="135">
        <f t="shared" si="272"/>
        <v>1</v>
      </c>
      <c r="BK41" s="134">
        <f>'бюджет округа (района)'!AG41+'бюджеты поселений'!AG41</f>
        <v>0</v>
      </c>
      <c r="BL41" s="137">
        <f>'бюджет округа (района)'!AG41</f>
        <v>0</v>
      </c>
      <c r="BM41" s="134"/>
      <c r="BN41" s="134"/>
      <c r="BO41" s="135">
        <f t="shared" ref="BO41:BP62" si="273">IF(O41=0,1,BM41/O41-1)</f>
        <v>1</v>
      </c>
      <c r="BP41" s="135">
        <f t="shared" si="273"/>
        <v>1</v>
      </c>
      <c r="BQ41" s="134">
        <f>'бюджет округа (района)'!AJ41+'бюджеты поселений'!AJ41</f>
        <v>0</v>
      </c>
      <c r="BR41" s="137">
        <f>'бюджет округа (района)'!AJ41</f>
        <v>0</v>
      </c>
      <c r="BS41" s="134"/>
      <c r="BT41" s="134"/>
      <c r="BU41" s="135">
        <f t="shared" ref="BU41:BV62" si="274">IF(S41=0,1,BS41/S41-1)</f>
        <v>1</v>
      </c>
      <c r="BV41" s="135">
        <f t="shared" si="274"/>
        <v>1</v>
      </c>
      <c r="BW41" s="134">
        <f>'бюджет округа (района)'!AM41+'бюджеты поселений'!AM41</f>
        <v>0</v>
      </c>
      <c r="BX41" s="137">
        <f>'бюджет округа (района)'!AM41</f>
        <v>0</v>
      </c>
      <c r="BY41" s="134"/>
      <c r="BZ41" s="134"/>
      <c r="CA41" s="135">
        <f t="shared" ref="CA41:CB62" si="275">IF(W41=0,1,BY41/W41-1)</f>
        <v>1</v>
      </c>
      <c r="CB41" s="135">
        <f t="shared" si="275"/>
        <v>1</v>
      </c>
      <c r="CC41" s="134">
        <f>'бюджет округа (района)'!AP41+'бюджеты поселений'!AP41</f>
        <v>0</v>
      </c>
      <c r="CD41" s="137">
        <f>'бюджет округа (района)'!AP41</f>
        <v>0</v>
      </c>
      <c r="CE41" s="134"/>
      <c r="CF41" s="134"/>
      <c r="CG41" s="135">
        <f t="shared" ref="CG41:CH62" si="276">IF(AA41=0,1,CE41/AA41-1)</f>
        <v>1</v>
      </c>
      <c r="CH41" s="135">
        <f t="shared" si="276"/>
        <v>1</v>
      </c>
      <c r="CI41" s="134">
        <f>'бюджет округа (района)'!AS41+'бюджеты поселений'!AS41</f>
        <v>0</v>
      </c>
      <c r="CJ41" s="137">
        <f>'бюджет округа (района)'!AS41</f>
        <v>0</v>
      </c>
      <c r="CK41" s="134"/>
      <c r="CL41" s="134"/>
      <c r="CM41" s="135">
        <f t="shared" ref="CM41:CN62" si="277">IF(AE41=0,1,CK41/AE41-1)</f>
        <v>1</v>
      </c>
      <c r="CN41" s="135">
        <f t="shared" si="277"/>
        <v>1</v>
      </c>
      <c r="CO41" s="134">
        <f>'бюджет округа (района)'!AV41+'бюджеты поселений'!AV41</f>
        <v>0</v>
      </c>
      <c r="CP41" s="137">
        <f>'бюджет округа (района)'!AV41</f>
        <v>0</v>
      </c>
      <c r="CQ41" s="134"/>
      <c r="CR41" s="134"/>
      <c r="CS41" s="135">
        <f t="shared" ref="CS41:CT62" si="278">IF(AI41=0,1,CQ41/AI41-1)</f>
        <v>1</v>
      </c>
      <c r="CT41" s="135">
        <f t="shared" si="278"/>
        <v>1</v>
      </c>
      <c r="CU41" s="134">
        <f>'бюджет округа (района)'!AY41+'бюджеты поселений'!AY41</f>
        <v>0</v>
      </c>
      <c r="CV41" s="137">
        <f>'бюджет округа (района)'!AY41</f>
        <v>0</v>
      </c>
      <c r="CW41" s="134"/>
      <c r="CX41" s="134"/>
      <c r="CY41" s="135">
        <f t="shared" ref="CY41:CZ62" si="279">IF(AM41=0,1,CW41/AM41-1)</f>
        <v>1</v>
      </c>
      <c r="CZ41" s="135">
        <f t="shared" si="279"/>
        <v>1</v>
      </c>
      <c r="DA41" s="134">
        <f>'бюджет округа (района)'!BB41+'бюджеты поселений'!BB41</f>
        <v>0</v>
      </c>
      <c r="DB41" s="137">
        <f>'бюджет округа (района)'!BB41</f>
        <v>0</v>
      </c>
      <c r="DC41" s="134"/>
      <c r="DD41" s="134"/>
      <c r="DE41" s="135">
        <f t="shared" ref="DE41:DF62" si="280">IF(AQ41=0,1,DC41/AQ41-1)</f>
        <v>1</v>
      </c>
      <c r="DF41" s="135">
        <f t="shared" si="280"/>
        <v>1</v>
      </c>
      <c r="DG41" s="134">
        <f>'бюджет округа (района)'!BE41+'бюджеты поселений'!BE41</f>
        <v>0</v>
      </c>
      <c r="DH41" s="137">
        <f>'бюджет округа (района)'!BE41</f>
        <v>0</v>
      </c>
      <c r="DI41" s="134"/>
      <c r="DJ41" s="134"/>
      <c r="DK41" s="135">
        <f t="shared" ref="DK41:DL62" si="281">IF(AU41=0,1,DI41/AU41-1)</f>
        <v>1</v>
      </c>
      <c r="DL41" s="135">
        <f t="shared" si="281"/>
        <v>1</v>
      </c>
      <c r="DM41" s="134">
        <f>'бюджет округа (района)'!BH41+'бюджеты поселений'!BH41</f>
        <v>0</v>
      </c>
      <c r="DN41" s="137">
        <f>'бюджет округа (района)'!BH41</f>
        <v>0</v>
      </c>
      <c r="DO41" s="134">
        <f>'бюджет округа (района)'!BI41+'бюджеты поселений'!BI41</f>
        <v>0</v>
      </c>
      <c r="DP41" s="137">
        <f>'бюджет округа (района)'!BI41</f>
        <v>0</v>
      </c>
      <c r="DQ41" s="134">
        <f>'бюджет округа (района)'!BJ41+'бюджеты поселений'!BJ41</f>
        <v>0</v>
      </c>
      <c r="DR41" s="137">
        <f>'бюджет округа (района)'!BJ41</f>
        <v>0</v>
      </c>
      <c r="DS41" s="135">
        <f>IF($AY$41=0,1,DQ41/$AY$41-1)</f>
        <v>1</v>
      </c>
      <c r="DT41" s="135">
        <f>IF($AZ$41=0,1,DR41/$AZ$41-1)</f>
        <v>1</v>
      </c>
      <c r="DU41" s="135">
        <f t="shared" si="58"/>
        <v>1</v>
      </c>
      <c r="DV41" s="135">
        <f t="shared" si="59"/>
        <v>1</v>
      </c>
      <c r="DW41" s="167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4" customFormat="1" ht="18" customHeight="1">
      <c r="A42" s="228" t="s">
        <v>98</v>
      </c>
      <c r="B42" s="229"/>
      <c r="C42" s="134">
        <f>'бюджет округа (района)'!C42+'бюджеты поселений'!C42</f>
        <v>0</v>
      </c>
      <c r="D42" s="137">
        <f>'бюджет округа (района)'!C42</f>
        <v>0</v>
      </c>
      <c r="E42" s="134">
        <f t="shared" si="256"/>
        <v>0</v>
      </c>
      <c r="F42" s="137">
        <f t="shared" si="256"/>
        <v>0</v>
      </c>
      <c r="G42" s="134">
        <f>'бюджет округа (района)'!E42+'бюджеты поселений'!E42</f>
        <v>0</v>
      </c>
      <c r="H42" s="137">
        <f>'бюджет округа (района)'!E42</f>
        <v>0</v>
      </c>
      <c r="I42" s="134">
        <f>'бюджет округа (района)'!F42+'бюджеты поселений'!F42</f>
        <v>0</v>
      </c>
      <c r="J42" s="137">
        <f>'бюджет округа (района)'!F42</f>
        <v>0</v>
      </c>
      <c r="K42" s="134">
        <f t="shared" si="271"/>
        <v>0</v>
      </c>
      <c r="L42" s="134">
        <f t="shared" si="271"/>
        <v>0</v>
      </c>
      <c r="M42" s="134">
        <f>'бюджет округа (района)'!H42+'бюджеты поселений'!H42</f>
        <v>0</v>
      </c>
      <c r="N42" s="137">
        <f>'бюджет округа (района)'!H42</f>
        <v>0</v>
      </c>
      <c r="O42" s="134">
        <f t="shared" si="152"/>
        <v>0</v>
      </c>
      <c r="P42" s="134">
        <f t="shared" si="152"/>
        <v>0</v>
      </c>
      <c r="Q42" s="134">
        <f>'бюджет округа (района)'!J42+'бюджеты поселений'!J42</f>
        <v>0</v>
      </c>
      <c r="R42" s="137">
        <f>'бюджет округа (района)'!J42</f>
        <v>0</v>
      </c>
      <c r="S42" s="134">
        <f t="shared" si="153"/>
        <v>0</v>
      </c>
      <c r="T42" s="134">
        <f t="shared" si="153"/>
        <v>0</v>
      </c>
      <c r="U42" s="134">
        <f>'бюджет округа (района)'!L42+'бюджеты поселений'!L42</f>
        <v>0</v>
      </c>
      <c r="V42" s="137">
        <f>'бюджет округа (района)'!L42</f>
        <v>0</v>
      </c>
      <c r="W42" s="134">
        <f t="shared" si="154"/>
        <v>0</v>
      </c>
      <c r="X42" s="134">
        <f t="shared" si="154"/>
        <v>0</v>
      </c>
      <c r="Y42" s="134">
        <f>'бюджет округа (района)'!N42+'бюджеты поселений'!N42</f>
        <v>0</v>
      </c>
      <c r="Z42" s="137">
        <f>'бюджет округа (района)'!N42</f>
        <v>0</v>
      </c>
      <c r="AA42" s="134">
        <f t="shared" si="155"/>
        <v>0</v>
      </c>
      <c r="AB42" s="134">
        <f t="shared" si="155"/>
        <v>0</v>
      </c>
      <c r="AC42" s="134">
        <f>'бюджет округа (района)'!P42+'бюджеты поселений'!P42</f>
        <v>0</v>
      </c>
      <c r="AD42" s="137">
        <f>'бюджет округа (района)'!P42</f>
        <v>0</v>
      </c>
      <c r="AE42" s="134">
        <f t="shared" si="156"/>
        <v>0</v>
      </c>
      <c r="AF42" s="134">
        <f t="shared" si="156"/>
        <v>0</v>
      </c>
      <c r="AG42" s="134">
        <f>'бюджет округа (района)'!R42+'бюджеты поселений'!R42</f>
        <v>0</v>
      </c>
      <c r="AH42" s="137">
        <f>'бюджет округа (района)'!R42</f>
        <v>0</v>
      </c>
      <c r="AI42" s="134">
        <f t="shared" ref="AI42:AJ45" si="282">AE42+AG42</f>
        <v>0</v>
      </c>
      <c r="AJ42" s="134">
        <f t="shared" si="282"/>
        <v>0</v>
      </c>
      <c r="AK42" s="134">
        <f>'бюджет округа (района)'!T42+'бюджеты поселений'!T42</f>
        <v>0</v>
      </c>
      <c r="AL42" s="137">
        <f>'бюджет округа (района)'!T42</f>
        <v>0</v>
      </c>
      <c r="AM42" s="134">
        <f t="shared" ref="AM42:AN45" si="283">AI42+AK42</f>
        <v>0</v>
      </c>
      <c r="AN42" s="134">
        <f t="shared" si="283"/>
        <v>0</v>
      </c>
      <c r="AO42" s="134">
        <f>'бюджет округа (района)'!V42+'бюджеты поселений'!V42</f>
        <v>0</v>
      </c>
      <c r="AP42" s="137">
        <f>'бюджет округа (района)'!V42</f>
        <v>0</v>
      </c>
      <c r="AQ42" s="134">
        <f t="shared" ref="AQ42:AR45" si="284">AM42+AO42</f>
        <v>0</v>
      </c>
      <c r="AR42" s="134">
        <f t="shared" si="284"/>
        <v>0</v>
      </c>
      <c r="AS42" s="134">
        <f>'бюджет округа (района)'!X42+'бюджеты поселений'!X42</f>
        <v>0</v>
      </c>
      <c r="AT42" s="137">
        <f>'бюджет округа (района)'!X42</f>
        <v>0</v>
      </c>
      <c r="AU42" s="134">
        <f t="shared" ref="AU42:AV45" si="285">AQ42+AS42</f>
        <v>0</v>
      </c>
      <c r="AV42" s="134">
        <f t="shared" si="285"/>
        <v>0</v>
      </c>
      <c r="AW42" s="134">
        <f>'бюджет округа (района)'!Z42+'бюджеты поселений'!Z42</f>
        <v>0</v>
      </c>
      <c r="AX42" s="137">
        <f>'бюджет округа (района)'!Z42</f>
        <v>0</v>
      </c>
      <c r="AY42" s="134">
        <f>'бюджет округа (района)'!AA42+'бюджеты поселений'!AA42</f>
        <v>0</v>
      </c>
      <c r="AZ42" s="137">
        <f>'бюджет округа (района)'!AA42</f>
        <v>0</v>
      </c>
      <c r="BA42" s="135">
        <f t="shared" si="173"/>
        <v>1</v>
      </c>
      <c r="BB42" s="135">
        <f t="shared" si="173"/>
        <v>1</v>
      </c>
      <c r="BC42" s="134">
        <f>'бюджет округа (района)'!AC42+'бюджеты поселений'!AC42</f>
        <v>0</v>
      </c>
      <c r="BD42" s="137">
        <f>'бюджет округа (района)'!AC42</f>
        <v>0</v>
      </c>
      <c r="BE42" s="134">
        <f>'бюджет округа (района)'!AD42+'бюджеты поселений'!AD42</f>
        <v>0</v>
      </c>
      <c r="BF42" s="137">
        <f>'бюджет округа (района)'!AD42</f>
        <v>0</v>
      </c>
      <c r="BG42" s="134">
        <f t="shared" si="261"/>
        <v>0</v>
      </c>
      <c r="BH42" s="134">
        <f t="shared" si="261"/>
        <v>0</v>
      </c>
      <c r="BI42" s="135">
        <f t="shared" si="272"/>
        <v>1</v>
      </c>
      <c r="BJ42" s="135">
        <f t="shared" si="272"/>
        <v>1</v>
      </c>
      <c r="BK42" s="134">
        <f>'бюджет округа (района)'!AG42+'бюджеты поселений'!AG42</f>
        <v>0</v>
      </c>
      <c r="BL42" s="137">
        <f>'бюджет округа (района)'!AG42</f>
        <v>0</v>
      </c>
      <c r="BM42" s="134">
        <f t="shared" ref="BM42:BN45" si="286">BG42+BK42</f>
        <v>0</v>
      </c>
      <c r="BN42" s="134">
        <f t="shared" si="286"/>
        <v>0</v>
      </c>
      <c r="BO42" s="135">
        <f t="shared" si="273"/>
        <v>1</v>
      </c>
      <c r="BP42" s="135">
        <f t="shared" si="273"/>
        <v>1</v>
      </c>
      <c r="BQ42" s="134">
        <f>'бюджет округа (района)'!AJ42+'бюджеты поселений'!AJ42</f>
        <v>0</v>
      </c>
      <c r="BR42" s="137">
        <f>'бюджет округа (района)'!AJ42</f>
        <v>0</v>
      </c>
      <c r="BS42" s="134">
        <f t="shared" ref="BS42:BT45" si="287">BM42+BQ42</f>
        <v>0</v>
      </c>
      <c r="BT42" s="134">
        <f t="shared" si="287"/>
        <v>0</v>
      </c>
      <c r="BU42" s="135">
        <f t="shared" si="274"/>
        <v>1</v>
      </c>
      <c r="BV42" s="135">
        <f t="shared" si="274"/>
        <v>1</v>
      </c>
      <c r="BW42" s="134">
        <f>'бюджет округа (района)'!AM42+'бюджеты поселений'!AM42</f>
        <v>0</v>
      </c>
      <c r="BX42" s="137">
        <f>'бюджет округа (района)'!AM42</f>
        <v>0</v>
      </c>
      <c r="BY42" s="134">
        <f t="shared" ref="BY42:BZ45" si="288">BS42+BW42</f>
        <v>0</v>
      </c>
      <c r="BZ42" s="134">
        <f t="shared" si="288"/>
        <v>0</v>
      </c>
      <c r="CA42" s="135">
        <f t="shared" si="275"/>
        <v>1</v>
      </c>
      <c r="CB42" s="135">
        <f t="shared" si="275"/>
        <v>1</v>
      </c>
      <c r="CC42" s="134">
        <f>'бюджет округа (района)'!AP42+'бюджеты поселений'!AP42</f>
        <v>0</v>
      </c>
      <c r="CD42" s="137">
        <f>'бюджет округа (района)'!AP42</f>
        <v>0</v>
      </c>
      <c r="CE42" s="134">
        <f t="shared" ref="CE42:CF45" si="289">BY42+CC42</f>
        <v>0</v>
      </c>
      <c r="CF42" s="134">
        <f t="shared" si="289"/>
        <v>0</v>
      </c>
      <c r="CG42" s="135">
        <f t="shared" si="276"/>
        <v>1</v>
      </c>
      <c r="CH42" s="135">
        <f t="shared" si="276"/>
        <v>1</v>
      </c>
      <c r="CI42" s="134">
        <f>'бюджет округа (района)'!AS42+'бюджеты поселений'!AS42</f>
        <v>0</v>
      </c>
      <c r="CJ42" s="137">
        <f>'бюджет округа (района)'!AS42</f>
        <v>0</v>
      </c>
      <c r="CK42" s="134">
        <f t="shared" ref="CK42:CL45" si="290">CE42+CI42</f>
        <v>0</v>
      </c>
      <c r="CL42" s="134">
        <f t="shared" si="290"/>
        <v>0</v>
      </c>
      <c r="CM42" s="135">
        <f t="shared" si="277"/>
        <v>1</v>
      </c>
      <c r="CN42" s="135">
        <f t="shared" si="277"/>
        <v>1</v>
      </c>
      <c r="CO42" s="134">
        <f>'бюджет округа (района)'!AV42+'бюджеты поселений'!AV42</f>
        <v>0</v>
      </c>
      <c r="CP42" s="137">
        <f>'бюджет округа (района)'!AV42</f>
        <v>0</v>
      </c>
      <c r="CQ42" s="134">
        <f t="shared" ref="CQ42:CR45" si="291">CK42+CO42</f>
        <v>0</v>
      </c>
      <c r="CR42" s="134">
        <f t="shared" si="291"/>
        <v>0</v>
      </c>
      <c r="CS42" s="135">
        <f t="shared" si="278"/>
        <v>1</v>
      </c>
      <c r="CT42" s="135">
        <f t="shared" si="278"/>
        <v>1</v>
      </c>
      <c r="CU42" s="134">
        <f>'бюджет округа (района)'!AY42+'бюджеты поселений'!AY42</f>
        <v>0</v>
      </c>
      <c r="CV42" s="137">
        <f>'бюджет округа (района)'!AY42</f>
        <v>0</v>
      </c>
      <c r="CW42" s="134">
        <f t="shared" ref="CW42:CX45" si="292">CQ42+CU42</f>
        <v>0</v>
      </c>
      <c r="CX42" s="134">
        <f t="shared" si="292"/>
        <v>0</v>
      </c>
      <c r="CY42" s="135">
        <f t="shared" si="279"/>
        <v>1</v>
      </c>
      <c r="CZ42" s="135">
        <f t="shared" si="279"/>
        <v>1</v>
      </c>
      <c r="DA42" s="134">
        <f>'бюджет округа (района)'!BB42+'бюджеты поселений'!BB42</f>
        <v>0</v>
      </c>
      <c r="DB42" s="137">
        <f>'бюджет округа (района)'!BB42</f>
        <v>0</v>
      </c>
      <c r="DC42" s="134">
        <f t="shared" ref="DC42:DD45" si="293">CW42+DA42</f>
        <v>0</v>
      </c>
      <c r="DD42" s="134">
        <f t="shared" si="293"/>
        <v>0</v>
      </c>
      <c r="DE42" s="135">
        <f t="shared" si="280"/>
        <v>1</v>
      </c>
      <c r="DF42" s="135">
        <f t="shared" si="280"/>
        <v>1</v>
      </c>
      <c r="DG42" s="134">
        <f>'бюджет округа (района)'!BE42+'бюджеты поселений'!BE42</f>
        <v>0</v>
      </c>
      <c r="DH42" s="137">
        <f>'бюджет округа (района)'!BE42</f>
        <v>0</v>
      </c>
      <c r="DI42" s="134">
        <f t="shared" ref="DI42:DJ45" si="294">DC42+DG42</f>
        <v>0</v>
      </c>
      <c r="DJ42" s="134">
        <f t="shared" si="294"/>
        <v>0</v>
      </c>
      <c r="DK42" s="135">
        <f t="shared" si="281"/>
        <v>1</v>
      </c>
      <c r="DL42" s="135">
        <f t="shared" si="281"/>
        <v>1</v>
      </c>
      <c r="DM42" s="134">
        <f>'бюджет округа (района)'!BH42+'бюджеты поселений'!BH42</f>
        <v>0</v>
      </c>
      <c r="DN42" s="137">
        <f>'бюджет округа (района)'!BH42</f>
        <v>0</v>
      </c>
      <c r="DO42" s="134">
        <f>'бюджет округа (района)'!BI42+'бюджеты поселений'!BI42</f>
        <v>0</v>
      </c>
      <c r="DP42" s="137">
        <f>'бюджет округа (района)'!BI42</f>
        <v>0</v>
      </c>
      <c r="DQ42" s="134">
        <f>'бюджет округа (района)'!BJ42+'бюджеты поселений'!BJ42</f>
        <v>0</v>
      </c>
      <c r="DR42" s="137">
        <f>'бюджет округа (района)'!BJ42</f>
        <v>0</v>
      </c>
      <c r="DS42" s="135">
        <f>IF($AY$42=0,1,DQ42/$AY$42-1)</f>
        <v>1</v>
      </c>
      <c r="DT42" s="135">
        <f>IF($AZ$42=0,1,DR42/$AZ$42-1)</f>
        <v>1</v>
      </c>
      <c r="DU42" s="135">
        <f t="shared" si="58"/>
        <v>1</v>
      </c>
      <c r="DV42" s="135">
        <f t="shared" si="59"/>
        <v>1</v>
      </c>
      <c r="DW42" s="167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</row>
    <row r="43" spans="1:268" s="68" customFormat="1" ht="18" customHeight="1">
      <c r="A43" s="246" t="s">
        <v>97</v>
      </c>
      <c r="B43" s="247"/>
      <c r="C43" s="140">
        <f>'бюджет округа (района)'!C43+'бюджеты поселений'!C43</f>
        <v>0</v>
      </c>
      <c r="D43" s="140">
        <f>'бюджет округа (района)'!C43</f>
        <v>0</v>
      </c>
      <c r="E43" s="140">
        <f t="shared" si="256"/>
        <v>0</v>
      </c>
      <c r="F43" s="140">
        <f t="shared" si="256"/>
        <v>0</v>
      </c>
      <c r="G43" s="140">
        <f>'бюджет округа (района)'!E43+'бюджеты поселений'!E43</f>
        <v>0</v>
      </c>
      <c r="H43" s="140">
        <f>'бюджет округа (района)'!E43</f>
        <v>0</v>
      </c>
      <c r="I43" s="140">
        <f>'бюджет округа (района)'!F43+'бюджеты поселений'!F43</f>
        <v>0</v>
      </c>
      <c r="J43" s="140">
        <f>'бюджет округа (района)'!F43</f>
        <v>0</v>
      </c>
      <c r="K43" s="132">
        <f>G43+I43</f>
        <v>0</v>
      </c>
      <c r="L43" s="132">
        <f>H43+J43</f>
        <v>0</v>
      </c>
      <c r="M43" s="140">
        <f>'бюджет округа (района)'!H43+'бюджеты поселений'!H43</f>
        <v>0</v>
      </c>
      <c r="N43" s="140">
        <f>'бюджет округа (района)'!H43</f>
        <v>0</v>
      </c>
      <c r="O43" s="132">
        <f t="shared" ref="O43:P45" si="295">K43+M43</f>
        <v>0</v>
      </c>
      <c r="P43" s="132">
        <f t="shared" si="295"/>
        <v>0</v>
      </c>
      <c r="Q43" s="140">
        <f>'бюджет округа (района)'!J43+'бюджеты поселений'!J43</f>
        <v>0</v>
      </c>
      <c r="R43" s="140">
        <f>'бюджет округа (района)'!J43</f>
        <v>0</v>
      </c>
      <c r="S43" s="132">
        <f t="shared" ref="S43:T45" si="296">O43+Q43</f>
        <v>0</v>
      </c>
      <c r="T43" s="132">
        <f t="shared" si="296"/>
        <v>0</v>
      </c>
      <c r="U43" s="140">
        <f>'бюджет округа (района)'!L43+'бюджеты поселений'!L43</f>
        <v>0</v>
      </c>
      <c r="V43" s="140">
        <f>'бюджет округа (района)'!L43</f>
        <v>0</v>
      </c>
      <c r="W43" s="132">
        <f t="shared" ref="W43:X45" si="297">S43+U43</f>
        <v>0</v>
      </c>
      <c r="X43" s="132">
        <f t="shared" si="297"/>
        <v>0</v>
      </c>
      <c r="Y43" s="140">
        <f>'бюджет округа (района)'!N43+'бюджеты поселений'!N43</f>
        <v>0</v>
      </c>
      <c r="Z43" s="140">
        <f>'бюджет округа (района)'!N43</f>
        <v>0</v>
      </c>
      <c r="AA43" s="132">
        <f t="shared" ref="AA43:AB45" si="298">W43+Y43</f>
        <v>0</v>
      </c>
      <c r="AB43" s="132">
        <f t="shared" si="298"/>
        <v>0</v>
      </c>
      <c r="AC43" s="140">
        <f>'бюджет округа (района)'!P43+'бюджеты поселений'!P43</f>
        <v>0</v>
      </c>
      <c r="AD43" s="140">
        <f>'бюджет округа (района)'!P43</f>
        <v>0</v>
      </c>
      <c r="AE43" s="132">
        <f t="shared" ref="AE43:AF45" si="299">AA43+AC43</f>
        <v>0</v>
      </c>
      <c r="AF43" s="132">
        <f t="shared" si="299"/>
        <v>0</v>
      </c>
      <c r="AG43" s="140">
        <f>'бюджет округа (района)'!R43+'бюджеты поселений'!R43</f>
        <v>0</v>
      </c>
      <c r="AH43" s="140">
        <f>'бюджет округа (района)'!R43</f>
        <v>0</v>
      </c>
      <c r="AI43" s="132">
        <f t="shared" si="282"/>
        <v>0</v>
      </c>
      <c r="AJ43" s="132">
        <f t="shared" si="282"/>
        <v>0</v>
      </c>
      <c r="AK43" s="140">
        <f>'бюджет округа (района)'!T43+'бюджеты поселений'!T43</f>
        <v>0</v>
      </c>
      <c r="AL43" s="140">
        <f>'бюджет округа (района)'!T43</f>
        <v>0</v>
      </c>
      <c r="AM43" s="132">
        <f t="shared" si="283"/>
        <v>0</v>
      </c>
      <c r="AN43" s="132">
        <f t="shared" si="283"/>
        <v>0</v>
      </c>
      <c r="AO43" s="140">
        <f>'бюджет округа (района)'!V43+'бюджеты поселений'!V43</f>
        <v>0</v>
      </c>
      <c r="AP43" s="140">
        <f>'бюджет округа (района)'!V43</f>
        <v>0</v>
      </c>
      <c r="AQ43" s="132">
        <f t="shared" si="284"/>
        <v>0</v>
      </c>
      <c r="AR43" s="132">
        <f t="shared" si="284"/>
        <v>0</v>
      </c>
      <c r="AS43" s="140">
        <f>'бюджет округа (района)'!X43+'бюджеты поселений'!X43</f>
        <v>0</v>
      </c>
      <c r="AT43" s="140">
        <f>'бюджет округа (района)'!X43</f>
        <v>0</v>
      </c>
      <c r="AU43" s="132">
        <f t="shared" si="285"/>
        <v>0</v>
      </c>
      <c r="AV43" s="132">
        <f t="shared" si="285"/>
        <v>0</v>
      </c>
      <c r="AW43" s="140">
        <f>'бюджет округа (района)'!Z43+'бюджеты поселений'!Z43</f>
        <v>0</v>
      </c>
      <c r="AX43" s="140">
        <f>'бюджет округа (района)'!Z43</f>
        <v>0</v>
      </c>
      <c r="AY43" s="140">
        <f>'бюджет округа (района)'!AA43+'бюджеты поселений'!AA43</f>
        <v>0</v>
      </c>
      <c r="AZ43" s="140">
        <f>'бюджет округа (района)'!AA43</f>
        <v>0</v>
      </c>
      <c r="BA43" s="142">
        <f t="shared" ref="BA43:BB58" si="300">IF(E43=0,1,AY43/E43-1)</f>
        <v>1</v>
      </c>
      <c r="BB43" s="142">
        <f t="shared" si="300"/>
        <v>1</v>
      </c>
      <c r="BC43" s="140">
        <f>'бюджет округа (района)'!AC43+'бюджеты поселений'!AC43</f>
        <v>0</v>
      </c>
      <c r="BD43" s="140">
        <f>'бюджет округа (района)'!AC43</f>
        <v>0</v>
      </c>
      <c r="BE43" s="140">
        <f>'бюджет округа (района)'!AD43+'бюджеты поселений'!AD43</f>
        <v>0</v>
      </c>
      <c r="BF43" s="140">
        <f>'бюджет округа (района)'!AD43</f>
        <v>0</v>
      </c>
      <c r="BG43" s="132">
        <f>BC43+BE43</f>
        <v>0</v>
      </c>
      <c r="BH43" s="132">
        <f>BD43+BF43</f>
        <v>0</v>
      </c>
      <c r="BI43" s="142">
        <f t="shared" si="272"/>
        <v>1</v>
      </c>
      <c r="BJ43" s="142">
        <f t="shared" si="272"/>
        <v>1</v>
      </c>
      <c r="BK43" s="140">
        <f>'бюджет округа (района)'!AG43+'бюджеты поселений'!AG43</f>
        <v>0</v>
      </c>
      <c r="BL43" s="140">
        <f>'бюджет округа (района)'!AG43</f>
        <v>0</v>
      </c>
      <c r="BM43" s="132">
        <f t="shared" si="286"/>
        <v>0</v>
      </c>
      <c r="BN43" s="132">
        <f t="shared" si="286"/>
        <v>0</v>
      </c>
      <c r="BO43" s="142">
        <f t="shared" si="273"/>
        <v>1</v>
      </c>
      <c r="BP43" s="142">
        <f t="shared" si="273"/>
        <v>1</v>
      </c>
      <c r="BQ43" s="140">
        <f>'бюджет округа (района)'!AJ43+'бюджеты поселений'!AJ43</f>
        <v>0</v>
      </c>
      <c r="BR43" s="140">
        <f>'бюджет округа (района)'!AJ43</f>
        <v>0</v>
      </c>
      <c r="BS43" s="132">
        <f t="shared" si="287"/>
        <v>0</v>
      </c>
      <c r="BT43" s="132">
        <f t="shared" si="287"/>
        <v>0</v>
      </c>
      <c r="BU43" s="142">
        <f t="shared" si="274"/>
        <v>1</v>
      </c>
      <c r="BV43" s="142">
        <f t="shared" si="274"/>
        <v>1</v>
      </c>
      <c r="BW43" s="140">
        <f>'бюджет округа (района)'!AM43+'бюджеты поселений'!AM43</f>
        <v>0</v>
      </c>
      <c r="BX43" s="140">
        <f>'бюджет округа (района)'!AM43</f>
        <v>0</v>
      </c>
      <c r="BY43" s="132">
        <f t="shared" si="288"/>
        <v>0</v>
      </c>
      <c r="BZ43" s="132">
        <f t="shared" si="288"/>
        <v>0</v>
      </c>
      <c r="CA43" s="142">
        <f t="shared" si="275"/>
        <v>1</v>
      </c>
      <c r="CB43" s="142">
        <f t="shared" si="275"/>
        <v>1</v>
      </c>
      <c r="CC43" s="140">
        <f>'бюджет округа (района)'!AP43+'бюджеты поселений'!AP43</f>
        <v>0</v>
      </c>
      <c r="CD43" s="140">
        <f>'бюджет округа (района)'!AP43</f>
        <v>0</v>
      </c>
      <c r="CE43" s="132">
        <f t="shared" si="289"/>
        <v>0</v>
      </c>
      <c r="CF43" s="132">
        <f t="shared" si="289"/>
        <v>0</v>
      </c>
      <c r="CG43" s="142">
        <f t="shared" si="276"/>
        <v>1</v>
      </c>
      <c r="CH43" s="142">
        <f t="shared" si="276"/>
        <v>1</v>
      </c>
      <c r="CI43" s="140">
        <f>'бюджет округа (района)'!AS43+'бюджеты поселений'!AS43</f>
        <v>0</v>
      </c>
      <c r="CJ43" s="140">
        <f>'бюджет округа (района)'!AS43</f>
        <v>0</v>
      </c>
      <c r="CK43" s="132">
        <f t="shared" si="290"/>
        <v>0</v>
      </c>
      <c r="CL43" s="132">
        <f t="shared" si="290"/>
        <v>0</v>
      </c>
      <c r="CM43" s="142">
        <f t="shared" si="277"/>
        <v>1</v>
      </c>
      <c r="CN43" s="142">
        <f t="shared" si="277"/>
        <v>1</v>
      </c>
      <c r="CO43" s="140">
        <f>'бюджет округа (района)'!AV43+'бюджеты поселений'!AV43</f>
        <v>0</v>
      </c>
      <c r="CP43" s="140">
        <f>'бюджет округа (района)'!AV43</f>
        <v>0</v>
      </c>
      <c r="CQ43" s="132">
        <f t="shared" si="291"/>
        <v>0</v>
      </c>
      <c r="CR43" s="132">
        <f t="shared" si="291"/>
        <v>0</v>
      </c>
      <c r="CS43" s="142">
        <f t="shared" si="278"/>
        <v>1</v>
      </c>
      <c r="CT43" s="142">
        <f t="shared" si="278"/>
        <v>1</v>
      </c>
      <c r="CU43" s="140">
        <f>'бюджет округа (района)'!AY43+'бюджеты поселений'!AY43</f>
        <v>0</v>
      </c>
      <c r="CV43" s="140">
        <f>'бюджет округа (района)'!AY43</f>
        <v>0</v>
      </c>
      <c r="CW43" s="132">
        <f t="shared" si="292"/>
        <v>0</v>
      </c>
      <c r="CX43" s="132">
        <f t="shared" si="292"/>
        <v>0</v>
      </c>
      <c r="CY43" s="142">
        <f t="shared" si="279"/>
        <v>1</v>
      </c>
      <c r="CZ43" s="142">
        <f t="shared" si="279"/>
        <v>1</v>
      </c>
      <c r="DA43" s="140">
        <f>'бюджет округа (района)'!BB43+'бюджеты поселений'!BB43</f>
        <v>0</v>
      </c>
      <c r="DB43" s="140">
        <f>'бюджет округа (района)'!BB43</f>
        <v>0</v>
      </c>
      <c r="DC43" s="132">
        <f t="shared" si="293"/>
        <v>0</v>
      </c>
      <c r="DD43" s="132">
        <f t="shared" si="293"/>
        <v>0</v>
      </c>
      <c r="DE43" s="142">
        <f t="shared" si="280"/>
        <v>1</v>
      </c>
      <c r="DF43" s="142">
        <f t="shared" si="280"/>
        <v>1</v>
      </c>
      <c r="DG43" s="140">
        <f>'бюджет округа (района)'!BE43+'бюджеты поселений'!BE43</f>
        <v>0</v>
      </c>
      <c r="DH43" s="140">
        <f>'бюджет округа (района)'!BE43</f>
        <v>0</v>
      </c>
      <c r="DI43" s="132">
        <f t="shared" si="294"/>
        <v>0</v>
      </c>
      <c r="DJ43" s="132">
        <f t="shared" si="294"/>
        <v>0</v>
      </c>
      <c r="DK43" s="142">
        <f t="shared" si="281"/>
        <v>1</v>
      </c>
      <c r="DL43" s="142">
        <f t="shared" si="281"/>
        <v>1</v>
      </c>
      <c r="DM43" s="140">
        <f>'бюджет округа (района)'!BH43+'бюджеты поселений'!BH43</f>
        <v>0</v>
      </c>
      <c r="DN43" s="140">
        <f>'бюджет округа (района)'!BH43</f>
        <v>0</v>
      </c>
      <c r="DO43" s="140">
        <f>'бюджет округа (района)'!BI43+'бюджеты поселений'!BI43</f>
        <v>0</v>
      </c>
      <c r="DP43" s="140">
        <f>'бюджет округа (района)'!BI43</f>
        <v>0</v>
      </c>
      <c r="DQ43" s="140">
        <f>'бюджет округа (района)'!BJ43+'бюджеты поселений'!BJ43</f>
        <v>0</v>
      </c>
      <c r="DR43" s="140">
        <f>'бюджет округа (района)'!BJ43</f>
        <v>0</v>
      </c>
      <c r="DS43" s="142">
        <f>IF($AY$43=0,1,DQ43/$AY$43-1)</f>
        <v>1</v>
      </c>
      <c r="DT43" s="142">
        <f>IF($AZ$43=0,1,DR43/$AZ$43-1)</f>
        <v>1</v>
      </c>
      <c r="DU43" s="142">
        <f t="shared" si="58"/>
        <v>1</v>
      </c>
      <c r="DV43" s="142">
        <f t="shared" si="59"/>
        <v>1</v>
      </c>
      <c r="DW43" s="166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246" t="s">
        <v>101</v>
      </c>
      <c r="B44" s="247"/>
      <c r="C44" s="140">
        <f>'бюджет округа (района)'!C44+'бюджеты поселений'!C44</f>
        <v>0</v>
      </c>
      <c r="D44" s="140">
        <f>'бюджет округа (района)'!C44</f>
        <v>0</v>
      </c>
      <c r="E44" s="140">
        <f t="shared" si="256"/>
        <v>0</v>
      </c>
      <c r="F44" s="140">
        <f t="shared" si="256"/>
        <v>0</v>
      </c>
      <c r="G44" s="140">
        <f>'бюджет округа (района)'!E44+'бюджеты поселений'!E44</f>
        <v>0</v>
      </c>
      <c r="H44" s="140">
        <f>'бюджет округа (района)'!E44</f>
        <v>0</v>
      </c>
      <c r="I44" s="140">
        <f>'бюджет округа (района)'!F44+'бюджеты поселений'!F44</f>
        <v>0</v>
      </c>
      <c r="J44" s="140">
        <f>'бюджет округа (района)'!F44</f>
        <v>0</v>
      </c>
      <c r="K44" s="132">
        <f>G44+I44</f>
        <v>0</v>
      </c>
      <c r="L44" s="132">
        <f>H44+J44</f>
        <v>0</v>
      </c>
      <c r="M44" s="140">
        <f>'бюджет округа (района)'!H44+'бюджеты поселений'!H44</f>
        <v>0</v>
      </c>
      <c r="N44" s="140">
        <f>'бюджет округа (района)'!H44</f>
        <v>0</v>
      </c>
      <c r="O44" s="132">
        <f t="shared" si="295"/>
        <v>0</v>
      </c>
      <c r="P44" s="132">
        <f t="shared" si="295"/>
        <v>0</v>
      </c>
      <c r="Q44" s="140">
        <f>'бюджет округа (района)'!J44+'бюджеты поселений'!J44</f>
        <v>0</v>
      </c>
      <c r="R44" s="140">
        <f>'бюджет округа (района)'!J44</f>
        <v>0</v>
      </c>
      <c r="S44" s="132">
        <f t="shared" si="296"/>
        <v>0</v>
      </c>
      <c r="T44" s="132">
        <f t="shared" si="296"/>
        <v>0</v>
      </c>
      <c r="U44" s="140">
        <f>'бюджет округа (района)'!L44+'бюджеты поселений'!L44</f>
        <v>0</v>
      </c>
      <c r="V44" s="140">
        <f>'бюджет округа (района)'!L44</f>
        <v>0</v>
      </c>
      <c r="W44" s="132">
        <f t="shared" si="297"/>
        <v>0</v>
      </c>
      <c r="X44" s="132">
        <f t="shared" si="297"/>
        <v>0</v>
      </c>
      <c r="Y44" s="140">
        <f>'бюджет округа (района)'!N44+'бюджеты поселений'!N44</f>
        <v>0</v>
      </c>
      <c r="Z44" s="140">
        <f>'бюджет округа (района)'!N44</f>
        <v>0</v>
      </c>
      <c r="AA44" s="132">
        <f t="shared" si="298"/>
        <v>0</v>
      </c>
      <c r="AB44" s="132">
        <f t="shared" si="298"/>
        <v>0</v>
      </c>
      <c r="AC44" s="140">
        <f>'бюджет округа (района)'!P44+'бюджеты поселений'!P44</f>
        <v>0</v>
      </c>
      <c r="AD44" s="140">
        <f>'бюджет округа (района)'!P44</f>
        <v>0</v>
      </c>
      <c r="AE44" s="132">
        <f t="shared" si="299"/>
        <v>0</v>
      </c>
      <c r="AF44" s="132">
        <f t="shared" si="299"/>
        <v>0</v>
      </c>
      <c r="AG44" s="140">
        <f>'бюджет округа (района)'!R44+'бюджеты поселений'!R44</f>
        <v>0</v>
      </c>
      <c r="AH44" s="140">
        <f>'бюджет округа (района)'!R44</f>
        <v>0</v>
      </c>
      <c r="AI44" s="132">
        <f t="shared" si="282"/>
        <v>0</v>
      </c>
      <c r="AJ44" s="132">
        <f t="shared" si="282"/>
        <v>0</v>
      </c>
      <c r="AK44" s="140">
        <f>'бюджет округа (района)'!T44+'бюджеты поселений'!T44</f>
        <v>0</v>
      </c>
      <c r="AL44" s="140">
        <f>'бюджет округа (района)'!T44</f>
        <v>0</v>
      </c>
      <c r="AM44" s="132">
        <f t="shared" si="283"/>
        <v>0</v>
      </c>
      <c r="AN44" s="132">
        <f t="shared" si="283"/>
        <v>0</v>
      </c>
      <c r="AO44" s="140">
        <f>'бюджет округа (района)'!V44+'бюджеты поселений'!V44</f>
        <v>0</v>
      </c>
      <c r="AP44" s="140">
        <f>'бюджет округа (района)'!V44</f>
        <v>0</v>
      </c>
      <c r="AQ44" s="132">
        <f t="shared" si="284"/>
        <v>0</v>
      </c>
      <c r="AR44" s="132">
        <f t="shared" si="284"/>
        <v>0</v>
      </c>
      <c r="AS44" s="140">
        <f>'бюджет округа (района)'!X44+'бюджеты поселений'!X44</f>
        <v>0</v>
      </c>
      <c r="AT44" s="140">
        <f>'бюджет округа (района)'!X44</f>
        <v>0</v>
      </c>
      <c r="AU44" s="132">
        <f t="shared" si="285"/>
        <v>0</v>
      </c>
      <c r="AV44" s="132">
        <f t="shared" si="285"/>
        <v>0</v>
      </c>
      <c r="AW44" s="140">
        <f>'бюджет округа (района)'!Z44+'бюджеты поселений'!Z44</f>
        <v>0</v>
      </c>
      <c r="AX44" s="140">
        <f>'бюджет округа (района)'!Z44</f>
        <v>0</v>
      </c>
      <c r="AY44" s="140">
        <f>'бюджет округа (района)'!AA44+'бюджеты поселений'!AA44</f>
        <v>0</v>
      </c>
      <c r="AZ44" s="140">
        <f>'бюджет округа (района)'!AA44</f>
        <v>0</v>
      </c>
      <c r="BA44" s="142">
        <f t="shared" si="300"/>
        <v>1</v>
      </c>
      <c r="BB44" s="142">
        <f t="shared" si="300"/>
        <v>1</v>
      </c>
      <c r="BC44" s="140">
        <f>'бюджет округа (района)'!AC44+'бюджеты поселений'!AC44</f>
        <v>0</v>
      </c>
      <c r="BD44" s="140">
        <f>'бюджет округа (района)'!AC44</f>
        <v>0</v>
      </c>
      <c r="BE44" s="140">
        <f>'бюджет округа (района)'!AD44+'бюджеты поселений'!AD44</f>
        <v>0</v>
      </c>
      <c r="BF44" s="140">
        <f>'бюджет округа (района)'!AD44</f>
        <v>0</v>
      </c>
      <c r="BG44" s="132">
        <f>BC44+BE44</f>
        <v>0</v>
      </c>
      <c r="BH44" s="132">
        <f>BD44+BF44</f>
        <v>0</v>
      </c>
      <c r="BI44" s="142">
        <f t="shared" si="272"/>
        <v>1</v>
      </c>
      <c r="BJ44" s="142">
        <f t="shared" si="272"/>
        <v>1</v>
      </c>
      <c r="BK44" s="140">
        <f>'бюджет округа (района)'!AG44+'бюджеты поселений'!AG44</f>
        <v>0</v>
      </c>
      <c r="BL44" s="140">
        <f>'бюджет округа (района)'!AG44</f>
        <v>0</v>
      </c>
      <c r="BM44" s="132">
        <f t="shared" si="286"/>
        <v>0</v>
      </c>
      <c r="BN44" s="132">
        <f t="shared" si="286"/>
        <v>0</v>
      </c>
      <c r="BO44" s="142">
        <f t="shared" si="273"/>
        <v>1</v>
      </c>
      <c r="BP44" s="142">
        <f t="shared" si="273"/>
        <v>1</v>
      </c>
      <c r="BQ44" s="140">
        <f>'бюджет округа (района)'!AJ44+'бюджеты поселений'!AJ44</f>
        <v>0</v>
      </c>
      <c r="BR44" s="140">
        <f>'бюджет округа (района)'!AJ44</f>
        <v>0</v>
      </c>
      <c r="BS44" s="132">
        <f t="shared" si="287"/>
        <v>0</v>
      </c>
      <c r="BT44" s="132">
        <f t="shared" si="287"/>
        <v>0</v>
      </c>
      <c r="BU44" s="142">
        <f t="shared" si="274"/>
        <v>1</v>
      </c>
      <c r="BV44" s="142">
        <f t="shared" si="274"/>
        <v>1</v>
      </c>
      <c r="BW44" s="140">
        <f>'бюджет округа (района)'!AM44+'бюджеты поселений'!AM44</f>
        <v>0</v>
      </c>
      <c r="BX44" s="140">
        <f>'бюджет округа (района)'!AM44</f>
        <v>0</v>
      </c>
      <c r="BY44" s="132">
        <f t="shared" si="288"/>
        <v>0</v>
      </c>
      <c r="BZ44" s="132">
        <f t="shared" si="288"/>
        <v>0</v>
      </c>
      <c r="CA44" s="142">
        <f t="shared" si="275"/>
        <v>1</v>
      </c>
      <c r="CB44" s="142">
        <f t="shared" si="275"/>
        <v>1</v>
      </c>
      <c r="CC44" s="140">
        <f>'бюджет округа (района)'!AP44+'бюджеты поселений'!AP44</f>
        <v>0</v>
      </c>
      <c r="CD44" s="140">
        <f>'бюджет округа (района)'!AP44</f>
        <v>0</v>
      </c>
      <c r="CE44" s="132">
        <f t="shared" si="289"/>
        <v>0</v>
      </c>
      <c r="CF44" s="132">
        <f t="shared" si="289"/>
        <v>0</v>
      </c>
      <c r="CG44" s="142">
        <f t="shared" si="276"/>
        <v>1</v>
      </c>
      <c r="CH44" s="142">
        <f t="shared" si="276"/>
        <v>1</v>
      </c>
      <c r="CI44" s="140">
        <f>'бюджет округа (района)'!AS44+'бюджеты поселений'!AS44</f>
        <v>0</v>
      </c>
      <c r="CJ44" s="140">
        <f>'бюджет округа (района)'!AS44</f>
        <v>0</v>
      </c>
      <c r="CK44" s="132">
        <f t="shared" si="290"/>
        <v>0</v>
      </c>
      <c r="CL44" s="132">
        <f t="shared" si="290"/>
        <v>0</v>
      </c>
      <c r="CM44" s="142">
        <f t="shared" si="277"/>
        <v>1</v>
      </c>
      <c r="CN44" s="142">
        <f t="shared" si="277"/>
        <v>1</v>
      </c>
      <c r="CO44" s="140">
        <f>'бюджет округа (района)'!AV44+'бюджеты поселений'!AV44</f>
        <v>0</v>
      </c>
      <c r="CP44" s="140">
        <f>'бюджет округа (района)'!AV44</f>
        <v>0</v>
      </c>
      <c r="CQ44" s="132">
        <f t="shared" si="291"/>
        <v>0</v>
      </c>
      <c r="CR44" s="132">
        <f t="shared" si="291"/>
        <v>0</v>
      </c>
      <c r="CS44" s="142">
        <f t="shared" si="278"/>
        <v>1</v>
      </c>
      <c r="CT44" s="142">
        <f t="shared" si="278"/>
        <v>1</v>
      </c>
      <c r="CU44" s="140">
        <f>'бюджет округа (района)'!AY44+'бюджеты поселений'!AY44</f>
        <v>0</v>
      </c>
      <c r="CV44" s="140">
        <f>'бюджет округа (района)'!AY44</f>
        <v>0</v>
      </c>
      <c r="CW44" s="132">
        <f t="shared" si="292"/>
        <v>0</v>
      </c>
      <c r="CX44" s="132">
        <f t="shared" si="292"/>
        <v>0</v>
      </c>
      <c r="CY44" s="142">
        <f t="shared" si="279"/>
        <v>1</v>
      </c>
      <c r="CZ44" s="142">
        <f t="shared" si="279"/>
        <v>1</v>
      </c>
      <c r="DA44" s="140">
        <f>'бюджет округа (района)'!BB44+'бюджеты поселений'!BB44</f>
        <v>0</v>
      </c>
      <c r="DB44" s="140">
        <f>'бюджет округа (района)'!BB44</f>
        <v>0</v>
      </c>
      <c r="DC44" s="132">
        <f t="shared" si="293"/>
        <v>0</v>
      </c>
      <c r="DD44" s="132">
        <f t="shared" si="293"/>
        <v>0</v>
      </c>
      <c r="DE44" s="142">
        <f t="shared" si="280"/>
        <v>1</v>
      </c>
      <c r="DF44" s="142">
        <f t="shared" si="280"/>
        <v>1</v>
      </c>
      <c r="DG44" s="140">
        <f>'бюджет округа (района)'!BE44+'бюджеты поселений'!BE44</f>
        <v>0</v>
      </c>
      <c r="DH44" s="140">
        <f>'бюджет округа (района)'!BE44</f>
        <v>0</v>
      </c>
      <c r="DI44" s="132">
        <f t="shared" si="294"/>
        <v>0</v>
      </c>
      <c r="DJ44" s="132">
        <f t="shared" si="294"/>
        <v>0</v>
      </c>
      <c r="DK44" s="142">
        <f t="shared" si="281"/>
        <v>1</v>
      </c>
      <c r="DL44" s="142">
        <f t="shared" si="281"/>
        <v>1</v>
      </c>
      <c r="DM44" s="140">
        <f>'бюджет округа (района)'!BH44+'бюджеты поселений'!BH44</f>
        <v>0</v>
      </c>
      <c r="DN44" s="140">
        <f>'бюджет округа (района)'!BH44</f>
        <v>0</v>
      </c>
      <c r="DO44" s="140">
        <f>'бюджет округа (района)'!BI44+'бюджеты поселений'!BI44</f>
        <v>0</v>
      </c>
      <c r="DP44" s="140">
        <f>'бюджет округа (района)'!BI44</f>
        <v>0</v>
      </c>
      <c r="DQ44" s="140">
        <f>'бюджет округа (района)'!BJ44+'бюджеты поселений'!BJ44</f>
        <v>0</v>
      </c>
      <c r="DR44" s="140">
        <f>'бюджет округа (района)'!BJ44</f>
        <v>0</v>
      </c>
      <c r="DS44" s="142">
        <f>IF($AY$44=0,1,DQ44/$AY$44-1)</f>
        <v>1</v>
      </c>
      <c r="DT44" s="142">
        <f>IF($AZ$44=0,1,DR44/$AZ$44-1)</f>
        <v>1</v>
      </c>
      <c r="DU44" s="142">
        <f t="shared" si="58"/>
        <v>1</v>
      </c>
      <c r="DV44" s="142">
        <f t="shared" si="59"/>
        <v>1</v>
      </c>
      <c r="DW44" s="166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246" t="s">
        <v>102</v>
      </c>
      <c r="B45" s="247"/>
      <c r="C45" s="140">
        <f>'бюджет округа (района)'!C45+'бюджеты поселений'!C45</f>
        <v>0</v>
      </c>
      <c r="D45" s="140">
        <f>'бюджет округа (района)'!C45</f>
        <v>0</v>
      </c>
      <c r="E45" s="140">
        <f t="shared" si="256"/>
        <v>0</v>
      </c>
      <c r="F45" s="140">
        <f t="shared" si="256"/>
        <v>0</v>
      </c>
      <c r="G45" s="140">
        <f>'бюджет округа (района)'!E45+'бюджеты поселений'!E45</f>
        <v>0</v>
      </c>
      <c r="H45" s="140">
        <f>'бюджет округа (района)'!E45</f>
        <v>0</v>
      </c>
      <c r="I45" s="140">
        <f>'бюджет округа (района)'!F45+'бюджеты поселений'!F45</f>
        <v>0</v>
      </c>
      <c r="J45" s="140">
        <f>'бюджет округа (района)'!F45</f>
        <v>0</v>
      </c>
      <c r="K45" s="132">
        <f t="shared" ref="K45:L62" si="301">G45+I45</f>
        <v>0</v>
      </c>
      <c r="L45" s="132">
        <f t="shared" si="301"/>
        <v>0</v>
      </c>
      <c r="M45" s="140">
        <f>'бюджет округа (района)'!H45+'бюджеты поселений'!H45</f>
        <v>0</v>
      </c>
      <c r="N45" s="140">
        <f>'бюджет округа (района)'!H45</f>
        <v>0</v>
      </c>
      <c r="O45" s="132">
        <f t="shared" si="295"/>
        <v>0</v>
      </c>
      <c r="P45" s="132">
        <f t="shared" si="295"/>
        <v>0</v>
      </c>
      <c r="Q45" s="140">
        <f>'бюджет округа (района)'!J45+'бюджеты поселений'!J45</f>
        <v>0</v>
      </c>
      <c r="R45" s="140">
        <f>'бюджет округа (района)'!J45</f>
        <v>0</v>
      </c>
      <c r="S45" s="132">
        <f t="shared" si="296"/>
        <v>0</v>
      </c>
      <c r="T45" s="132">
        <f t="shared" si="296"/>
        <v>0</v>
      </c>
      <c r="U45" s="140">
        <f>'бюджет округа (района)'!L45+'бюджеты поселений'!L45</f>
        <v>0</v>
      </c>
      <c r="V45" s="140">
        <f>'бюджет округа (района)'!L45</f>
        <v>0</v>
      </c>
      <c r="W45" s="132">
        <f t="shared" si="297"/>
        <v>0</v>
      </c>
      <c r="X45" s="132">
        <f t="shared" si="297"/>
        <v>0</v>
      </c>
      <c r="Y45" s="140">
        <f>'бюджет округа (района)'!N45+'бюджеты поселений'!N45</f>
        <v>0</v>
      </c>
      <c r="Z45" s="140">
        <f>'бюджет округа (района)'!N45</f>
        <v>0</v>
      </c>
      <c r="AA45" s="132">
        <f t="shared" si="298"/>
        <v>0</v>
      </c>
      <c r="AB45" s="132">
        <f t="shared" si="298"/>
        <v>0</v>
      </c>
      <c r="AC45" s="140">
        <f>'бюджет округа (района)'!P45+'бюджеты поселений'!P45</f>
        <v>0</v>
      </c>
      <c r="AD45" s="140">
        <f>'бюджет округа (района)'!P45</f>
        <v>0</v>
      </c>
      <c r="AE45" s="132">
        <f t="shared" si="299"/>
        <v>0</v>
      </c>
      <c r="AF45" s="132">
        <f t="shared" si="299"/>
        <v>0</v>
      </c>
      <c r="AG45" s="140">
        <f>'бюджет округа (района)'!R45+'бюджеты поселений'!R45</f>
        <v>0</v>
      </c>
      <c r="AH45" s="140">
        <f>'бюджет округа (района)'!R45</f>
        <v>0</v>
      </c>
      <c r="AI45" s="132">
        <f t="shared" si="282"/>
        <v>0</v>
      </c>
      <c r="AJ45" s="132">
        <f t="shared" si="282"/>
        <v>0</v>
      </c>
      <c r="AK45" s="140">
        <f>'бюджет округа (района)'!T45+'бюджеты поселений'!T45</f>
        <v>0</v>
      </c>
      <c r="AL45" s="140">
        <f>'бюджет округа (района)'!T45</f>
        <v>0</v>
      </c>
      <c r="AM45" s="132">
        <f t="shared" si="283"/>
        <v>0</v>
      </c>
      <c r="AN45" s="132">
        <f t="shared" si="283"/>
        <v>0</v>
      </c>
      <c r="AO45" s="140">
        <f>'бюджет округа (района)'!V45+'бюджеты поселений'!V45</f>
        <v>0</v>
      </c>
      <c r="AP45" s="140">
        <f>'бюджет округа (района)'!V45</f>
        <v>0</v>
      </c>
      <c r="AQ45" s="132">
        <f t="shared" si="284"/>
        <v>0</v>
      </c>
      <c r="AR45" s="132">
        <f t="shared" si="284"/>
        <v>0</v>
      </c>
      <c r="AS45" s="140">
        <f>'бюджет округа (района)'!X45+'бюджеты поселений'!X45</f>
        <v>0</v>
      </c>
      <c r="AT45" s="140">
        <f>'бюджет округа (района)'!X45</f>
        <v>0</v>
      </c>
      <c r="AU45" s="132">
        <f t="shared" si="285"/>
        <v>0</v>
      </c>
      <c r="AV45" s="132">
        <f t="shared" si="285"/>
        <v>0</v>
      </c>
      <c r="AW45" s="140">
        <f>'бюджет округа (района)'!Z45+'бюджеты поселений'!Z45</f>
        <v>0</v>
      </c>
      <c r="AX45" s="140">
        <f>'бюджет округа (района)'!Z45</f>
        <v>0</v>
      </c>
      <c r="AY45" s="140">
        <f>'бюджет округа (района)'!AA45+'бюджеты поселений'!AA45</f>
        <v>0</v>
      </c>
      <c r="AZ45" s="140">
        <f>'бюджет округа (района)'!AA45</f>
        <v>0</v>
      </c>
      <c r="BA45" s="142">
        <f t="shared" si="300"/>
        <v>1</v>
      </c>
      <c r="BB45" s="142">
        <f t="shared" si="300"/>
        <v>1</v>
      </c>
      <c r="BC45" s="140">
        <f>'бюджет округа (района)'!AC45+'бюджеты поселений'!AC45</f>
        <v>0</v>
      </c>
      <c r="BD45" s="140">
        <f>'бюджет округа (района)'!AC45</f>
        <v>0</v>
      </c>
      <c r="BE45" s="140">
        <f>'бюджет округа (района)'!AD45+'бюджеты поселений'!AD45</f>
        <v>0</v>
      </c>
      <c r="BF45" s="140">
        <f>'бюджет округа (района)'!AD45</f>
        <v>0</v>
      </c>
      <c r="BG45" s="132">
        <f t="shared" ref="BG45:BH62" si="302">BC45+BE45</f>
        <v>0</v>
      </c>
      <c r="BH45" s="132">
        <f t="shared" si="302"/>
        <v>0</v>
      </c>
      <c r="BI45" s="142">
        <f t="shared" si="272"/>
        <v>1</v>
      </c>
      <c r="BJ45" s="142">
        <f t="shared" si="272"/>
        <v>1</v>
      </c>
      <c r="BK45" s="140">
        <f>'бюджет округа (района)'!AG45+'бюджеты поселений'!AG45</f>
        <v>0</v>
      </c>
      <c r="BL45" s="140">
        <f>'бюджет округа (района)'!AG45</f>
        <v>0</v>
      </c>
      <c r="BM45" s="132">
        <f t="shared" si="286"/>
        <v>0</v>
      </c>
      <c r="BN45" s="132">
        <f t="shared" si="286"/>
        <v>0</v>
      </c>
      <c r="BO45" s="142">
        <f t="shared" si="273"/>
        <v>1</v>
      </c>
      <c r="BP45" s="142">
        <f t="shared" si="273"/>
        <v>1</v>
      </c>
      <c r="BQ45" s="140">
        <f>'бюджет округа (района)'!AJ45+'бюджеты поселений'!AJ45</f>
        <v>0</v>
      </c>
      <c r="BR45" s="140">
        <f>'бюджет округа (района)'!AJ45</f>
        <v>0</v>
      </c>
      <c r="BS45" s="132">
        <f t="shared" si="287"/>
        <v>0</v>
      </c>
      <c r="BT45" s="132">
        <f t="shared" si="287"/>
        <v>0</v>
      </c>
      <c r="BU45" s="142">
        <f t="shared" si="274"/>
        <v>1</v>
      </c>
      <c r="BV45" s="142">
        <f t="shared" si="274"/>
        <v>1</v>
      </c>
      <c r="BW45" s="140">
        <f>'бюджет округа (района)'!AM45+'бюджеты поселений'!AM45</f>
        <v>0</v>
      </c>
      <c r="BX45" s="140">
        <f>'бюджет округа (района)'!AM45</f>
        <v>0</v>
      </c>
      <c r="BY45" s="132">
        <f t="shared" si="288"/>
        <v>0</v>
      </c>
      <c r="BZ45" s="132">
        <f t="shared" si="288"/>
        <v>0</v>
      </c>
      <c r="CA45" s="142">
        <f t="shared" si="275"/>
        <v>1</v>
      </c>
      <c r="CB45" s="142">
        <f t="shared" si="275"/>
        <v>1</v>
      </c>
      <c r="CC45" s="140">
        <f>'бюджет округа (района)'!AP45+'бюджеты поселений'!AP45</f>
        <v>0</v>
      </c>
      <c r="CD45" s="140">
        <f>'бюджет округа (района)'!AP45</f>
        <v>0</v>
      </c>
      <c r="CE45" s="132">
        <f t="shared" si="289"/>
        <v>0</v>
      </c>
      <c r="CF45" s="132">
        <f t="shared" si="289"/>
        <v>0</v>
      </c>
      <c r="CG45" s="142">
        <f t="shared" si="276"/>
        <v>1</v>
      </c>
      <c r="CH45" s="142">
        <f t="shared" si="276"/>
        <v>1</v>
      </c>
      <c r="CI45" s="140">
        <f>'бюджет округа (района)'!AS45+'бюджеты поселений'!AS45</f>
        <v>0</v>
      </c>
      <c r="CJ45" s="140">
        <f>'бюджет округа (района)'!AS45</f>
        <v>0</v>
      </c>
      <c r="CK45" s="132">
        <f t="shared" si="290"/>
        <v>0</v>
      </c>
      <c r="CL45" s="132">
        <f t="shared" si="290"/>
        <v>0</v>
      </c>
      <c r="CM45" s="142">
        <f t="shared" si="277"/>
        <v>1</v>
      </c>
      <c r="CN45" s="142">
        <f t="shared" si="277"/>
        <v>1</v>
      </c>
      <c r="CO45" s="140">
        <f>'бюджет округа (района)'!AV45+'бюджеты поселений'!AV45</f>
        <v>0</v>
      </c>
      <c r="CP45" s="140">
        <f>'бюджет округа (района)'!AV45</f>
        <v>0</v>
      </c>
      <c r="CQ45" s="132">
        <f t="shared" si="291"/>
        <v>0</v>
      </c>
      <c r="CR45" s="132">
        <f t="shared" si="291"/>
        <v>0</v>
      </c>
      <c r="CS45" s="142">
        <f t="shared" si="278"/>
        <v>1</v>
      </c>
      <c r="CT45" s="142">
        <f t="shared" si="278"/>
        <v>1</v>
      </c>
      <c r="CU45" s="140">
        <f>'бюджет округа (района)'!AY45+'бюджеты поселений'!AY45</f>
        <v>0</v>
      </c>
      <c r="CV45" s="140">
        <f>'бюджет округа (района)'!AY45</f>
        <v>0</v>
      </c>
      <c r="CW45" s="132">
        <f t="shared" si="292"/>
        <v>0</v>
      </c>
      <c r="CX45" s="132">
        <f t="shared" si="292"/>
        <v>0</v>
      </c>
      <c r="CY45" s="142">
        <f t="shared" si="279"/>
        <v>1</v>
      </c>
      <c r="CZ45" s="142">
        <f t="shared" si="279"/>
        <v>1</v>
      </c>
      <c r="DA45" s="140">
        <f>'бюджет округа (района)'!BB45+'бюджеты поселений'!BB45</f>
        <v>0</v>
      </c>
      <c r="DB45" s="140">
        <f>'бюджет округа (района)'!BB45</f>
        <v>0</v>
      </c>
      <c r="DC45" s="132">
        <f t="shared" si="293"/>
        <v>0</v>
      </c>
      <c r="DD45" s="132">
        <f t="shared" si="293"/>
        <v>0</v>
      </c>
      <c r="DE45" s="142">
        <f t="shared" si="280"/>
        <v>1</v>
      </c>
      <c r="DF45" s="142">
        <f t="shared" si="280"/>
        <v>1</v>
      </c>
      <c r="DG45" s="140">
        <f>'бюджет округа (района)'!BE45+'бюджеты поселений'!BE45</f>
        <v>0</v>
      </c>
      <c r="DH45" s="140">
        <f>'бюджет округа (района)'!BE45</f>
        <v>0</v>
      </c>
      <c r="DI45" s="132">
        <f t="shared" si="294"/>
        <v>0</v>
      </c>
      <c r="DJ45" s="132">
        <f t="shared" si="294"/>
        <v>0</v>
      </c>
      <c r="DK45" s="142">
        <f t="shared" si="281"/>
        <v>1</v>
      </c>
      <c r="DL45" s="142">
        <f t="shared" si="281"/>
        <v>1</v>
      </c>
      <c r="DM45" s="140">
        <f>'бюджет округа (района)'!BH45+'бюджеты поселений'!BH45</f>
        <v>0</v>
      </c>
      <c r="DN45" s="140">
        <f>'бюджет округа (района)'!BH45</f>
        <v>0</v>
      </c>
      <c r="DO45" s="140">
        <f>'бюджет округа (района)'!BI45+'бюджеты поселений'!BI45</f>
        <v>0</v>
      </c>
      <c r="DP45" s="140">
        <f>'бюджет округа (района)'!BI45</f>
        <v>0</v>
      </c>
      <c r="DQ45" s="140">
        <f>'бюджет округа (района)'!BJ45+'бюджеты поселений'!BJ45</f>
        <v>0</v>
      </c>
      <c r="DR45" s="140">
        <f>'бюджет округа (района)'!BJ45</f>
        <v>0</v>
      </c>
      <c r="DS45" s="142">
        <f>IF($AY$45=0,1,DQ45/$AY$45-1)</f>
        <v>1</v>
      </c>
      <c r="DT45" s="142">
        <f>IF($AZ$45=0,1,DR45/$AZ$45-1)</f>
        <v>1</v>
      </c>
      <c r="DU45" s="142">
        <f t="shared" si="58"/>
        <v>1</v>
      </c>
      <c r="DV45" s="142">
        <f t="shared" si="59"/>
        <v>1</v>
      </c>
      <c r="DW45" s="166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68" customFormat="1" ht="18" customHeight="1">
      <c r="A46" s="246" t="s">
        <v>103</v>
      </c>
      <c r="B46" s="247"/>
      <c r="C46" s="140">
        <f>'бюджет округа (района)'!C46+'бюджеты поселений'!C46</f>
        <v>0</v>
      </c>
      <c r="D46" s="140">
        <f>'бюджет округа (района)'!C46</f>
        <v>0</v>
      </c>
      <c r="E46" s="140">
        <f t="shared" si="256"/>
        <v>0</v>
      </c>
      <c r="F46" s="140">
        <f t="shared" si="256"/>
        <v>0</v>
      </c>
      <c r="G46" s="140">
        <f>'бюджет округа (района)'!E46+'бюджеты поселений'!E46</f>
        <v>0</v>
      </c>
      <c r="H46" s="140">
        <f>'бюджет округа (района)'!E46</f>
        <v>0</v>
      </c>
      <c r="I46" s="140">
        <f>'бюджет округа (района)'!F46+'бюджеты поселений'!F46</f>
        <v>0</v>
      </c>
      <c r="J46" s="140">
        <f>'бюджет округа (района)'!F46</f>
        <v>0</v>
      </c>
      <c r="K46" s="132">
        <f t="shared" si="301"/>
        <v>0</v>
      </c>
      <c r="L46" s="132">
        <f t="shared" si="301"/>
        <v>0</v>
      </c>
      <c r="M46" s="140">
        <f>'бюджет округа (района)'!H46+'бюджеты поселений'!H46</f>
        <v>0</v>
      </c>
      <c r="N46" s="140">
        <f>'бюджет округа (района)'!H46</f>
        <v>0</v>
      </c>
      <c r="O46" s="132"/>
      <c r="P46" s="132"/>
      <c r="Q46" s="140">
        <f>'бюджет округа (района)'!J46+'бюджеты поселений'!J46</f>
        <v>0</v>
      </c>
      <c r="R46" s="140">
        <f>'бюджет округа (района)'!J46</f>
        <v>0</v>
      </c>
      <c r="S46" s="132"/>
      <c r="T46" s="132"/>
      <c r="U46" s="140">
        <f>'бюджет округа (района)'!L46+'бюджеты поселений'!L46</f>
        <v>0</v>
      </c>
      <c r="V46" s="140">
        <f>'бюджет округа (района)'!L46</f>
        <v>0</v>
      </c>
      <c r="W46" s="132"/>
      <c r="X46" s="132"/>
      <c r="Y46" s="140">
        <f>'бюджет округа (района)'!N46+'бюджеты поселений'!N46</f>
        <v>0</v>
      </c>
      <c r="Z46" s="140">
        <f>'бюджет округа (района)'!N46</f>
        <v>0</v>
      </c>
      <c r="AA46" s="132"/>
      <c r="AB46" s="132"/>
      <c r="AC46" s="140">
        <f>'бюджет округа (района)'!P46+'бюджеты поселений'!P46</f>
        <v>0</v>
      </c>
      <c r="AD46" s="140">
        <f>'бюджет округа (района)'!P46</f>
        <v>0</v>
      </c>
      <c r="AE46" s="132"/>
      <c r="AF46" s="132"/>
      <c r="AG46" s="140">
        <f>'бюджет округа (района)'!R46+'бюджеты поселений'!R46</f>
        <v>0</v>
      </c>
      <c r="AH46" s="140">
        <f>'бюджет округа (района)'!R46</f>
        <v>0</v>
      </c>
      <c r="AI46" s="132"/>
      <c r="AJ46" s="132"/>
      <c r="AK46" s="140">
        <f>'бюджет округа (района)'!T46+'бюджеты поселений'!T46</f>
        <v>0</v>
      </c>
      <c r="AL46" s="140">
        <f>'бюджет округа (района)'!T46</f>
        <v>0</v>
      </c>
      <c r="AM46" s="132"/>
      <c r="AN46" s="132"/>
      <c r="AO46" s="140">
        <f>'бюджет округа (района)'!V46+'бюджеты поселений'!V46</f>
        <v>0</v>
      </c>
      <c r="AP46" s="140">
        <f>'бюджет округа (района)'!V46</f>
        <v>0</v>
      </c>
      <c r="AQ46" s="132"/>
      <c r="AR46" s="132"/>
      <c r="AS46" s="140">
        <f>'бюджет округа (района)'!X46+'бюджеты поселений'!X46</f>
        <v>0</v>
      </c>
      <c r="AT46" s="140">
        <f>'бюджет округа (района)'!X46</f>
        <v>0</v>
      </c>
      <c r="AU46" s="132"/>
      <c r="AV46" s="132"/>
      <c r="AW46" s="140">
        <f>'бюджет округа (района)'!Z46+'бюджеты поселений'!Z46</f>
        <v>0</v>
      </c>
      <c r="AX46" s="140">
        <f>'бюджет округа (района)'!Z46</f>
        <v>0</v>
      </c>
      <c r="AY46" s="140">
        <f>'бюджет округа (района)'!AA46+'бюджеты поселений'!AA46</f>
        <v>0</v>
      </c>
      <c r="AZ46" s="140">
        <f>'бюджет округа (района)'!AA46</f>
        <v>0</v>
      </c>
      <c r="BA46" s="142">
        <f t="shared" si="300"/>
        <v>1</v>
      </c>
      <c r="BB46" s="142">
        <f t="shared" si="300"/>
        <v>1</v>
      </c>
      <c r="BC46" s="140">
        <f>'бюджет округа (района)'!AC46+'бюджеты поселений'!AC46</f>
        <v>0</v>
      </c>
      <c r="BD46" s="140">
        <f>'бюджет округа (района)'!AC46</f>
        <v>0</v>
      </c>
      <c r="BE46" s="140">
        <f>'бюджет округа (района)'!AD46+'бюджеты поселений'!AD46</f>
        <v>0</v>
      </c>
      <c r="BF46" s="140">
        <f>'бюджет округа (района)'!AD46</f>
        <v>0</v>
      </c>
      <c r="BG46" s="132">
        <f t="shared" si="302"/>
        <v>0</v>
      </c>
      <c r="BH46" s="132">
        <f t="shared" si="302"/>
        <v>0</v>
      </c>
      <c r="BI46" s="142">
        <f t="shared" si="272"/>
        <v>1</v>
      </c>
      <c r="BJ46" s="142">
        <f t="shared" si="272"/>
        <v>1</v>
      </c>
      <c r="BK46" s="140">
        <f>'бюджет округа (района)'!AG46+'бюджеты поселений'!AG46</f>
        <v>0</v>
      </c>
      <c r="BL46" s="140">
        <f>'бюджет округа (района)'!AG46</f>
        <v>0</v>
      </c>
      <c r="BM46" s="132"/>
      <c r="BN46" s="132"/>
      <c r="BO46" s="142">
        <f t="shared" si="273"/>
        <v>1</v>
      </c>
      <c r="BP46" s="142">
        <f t="shared" si="273"/>
        <v>1</v>
      </c>
      <c r="BQ46" s="140">
        <f>'бюджет округа (района)'!AJ46+'бюджеты поселений'!AJ46</f>
        <v>0</v>
      </c>
      <c r="BR46" s="140">
        <f>'бюджет округа (района)'!AJ46</f>
        <v>0</v>
      </c>
      <c r="BS46" s="132"/>
      <c r="BT46" s="132"/>
      <c r="BU46" s="142">
        <f t="shared" si="274"/>
        <v>1</v>
      </c>
      <c r="BV46" s="142">
        <f t="shared" si="274"/>
        <v>1</v>
      </c>
      <c r="BW46" s="140">
        <f>'бюджет округа (района)'!AM46+'бюджеты поселений'!AM46</f>
        <v>0</v>
      </c>
      <c r="BX46" s="140">
        <f>'бюджет округа (района)'!AM46</f>
        <v>0</v>
      </c>
      <c r="BY46" s="132"/>
      <c r="BZ46" s="132"/>
      <c r="CA46" s="142">
        <f t="shared" si="275"/>
        <v>1</v>
      </c>
      <c r="CB46" s="142">
        <f t="shared" si="275"/>
        <v>1</v>
      </c>
      <c r="CC46" s="140">
        <f>'бюджет округа (района)'!AP46+'бюджеты поселений'!AP46</f>
        <v>0</v>
      </c>
      <c r="CD46" s="140">
        <f>'бюджет округа (района)'!AP46</f>
        <v>0</v>
      </c>
      <c r="CE46" s="132"/>
      <c r="CF46" s="132"/>
      <c r="CG46" s="142">
        <f t="shared" si="276"/>
        <v>1</v>
      </c>
      <c r="CH46" s="142">
        <f t="shared" si="276"/>
        <v>1</v>
      </c>
      <c r="CI46" s="140">
        <f>'бюджет округа (района)'!AS46+'бюджеты поселений'!AS46</f>
        <v>0</v>
      </c>
      <c r="CJ46" s="140">
        <f>'бюджет округа (района)'!AS46</f>
        <v>0</v>
      </c>
      <c r="CK46" s="132"/>
      <c r="CL46" s="132"/>
      <c r="CM46" s="142">
        <f t="shared" si="277"/>
        <v>1</v>
      </c>
      <c r="CN46" s="142">
        <f t="shared" si="277"/>
        <v>1</v>
      </c>
      <c r="CO46" s="140">
        <f>'бюджет округа (района)'!AV46+'бюджеты поселений'!AV46</f>
        <v>0</v>
      </c>
      <c r="CP46" s="140">
        <f>'бюджет округа (района)'!AV46</f>
        <v>0</v>
      </c>
      <c r="CQ46" s="132"/>
      <c r="CR46" s="132"/>
      <c r="CS46" s="142">
        <f t="shared" si="278"/>
        <v>1</v>
      </c>
      <c r="CT46" s="142">
        <f t="shared" si="278"/>
        <v>1</v>
      </c>
      <c r="CU46" s="140">
        <f>'бюджет округа (района)'!AY46+'бюджеты поселений'!AY46</f>
        <v>0</v>
      </c>
      <c r="CV46" s="140">
        <f>'бюджет округа (района)'!AY46</f>
        <v>0</v>
      </c>
      <c r="CW46" s="132"/>
      <c r="CX46" s="132"/>
      <c r="CY46" s="142">
        <f t="shared" si="279"/>
        <v>1</v>
      </c>
      <c r="CZ46" s="142">
        <f t="shared" si="279"/>
        <v>1</v>
      </c>
      <c r="DA46" s="140">
        <f>'бюджет округа (района)'!BB46+'бюджеты поселений'!BB46</f>
        <v>0</v>
      </c>
      <c r="DB46" s="140">
        <f>'бюджет округа (района)'!BB46</f>
        <v>0</v>
      </c>
      <c r="DC46" s="132"/>
      <c r="DD46" s="132"/>
      <c r="DE46" s="142">
        <f t="shared" si="280"/>
        <v>1</v>
      </c>
      <c r="DF46" s="142">
        <f t="shared" si="280"/>
        <v>1</v>
      </c>
      <c r="DG46" s="140">
        <f>'бюджет округа (района)'!BE46+'бюджеты поселений'!BE46</f>
        <v>0</v>
      </c>
      <c r="DH46" s="140">
        <f>'бюджет округа (района)'!BE46</f>
        <v>0</v>
      </c>
      <c r="DI46" s="132"/>
      <c r="DJ46" s="132"/>
      <c r="DK46" s="142">
        <f t="shared" si="281"/>
        <v>1</v>
      </c>
      <c r="DL46" s="142">
        <f t="shared" si="281"/>
        <v>1</v>
      </c>
      <c r="DM46" s="140">
        <f>'бюджет округа (района)'!BH46+'бюджеты поселений'!BH46</f>
        <v>0</v>
      </c>
      <c r="DN46" s="140">
        <f>'бюджет округа (района)'!BH46</f>
        <v>0</v>
      </c>
      <c r="DO46" s="140">
        <f>'бюджет округа (района)'!BI46+'бюджеты поселений'!BI46</f>
        <v>0</v>
      </c>
      <c r="DP46" s="140">
        <f>'бюджет округа (района)'!BI46</f>
        <v>0</v>
      </c>
      <c r="DQ46" s="140">
        <f>'бюджет округа (района)'!BJ46+'бюджеты поселений'!BJ46</f>
        <v>0</v>
      </c>
      <c r="DR46" s="140">
        <f>'бюджет округа (района)'!BJ46</f>
        <v>0</v>
      </c>
      <c r="DS46" s="142">
        <f>IF($AY$46=0,1,DQ46/$AY$46-1)</f>
        <v>1</v>
      </c>
      <c r="DT46" s="142">
        <f>IF($AZ$46=0,1,DR46/$AZ$46-1)</f>
        <v>1</v>
      </c>
      <c r="DU46" s="142">
        <f t="shared" si="58"/>
        <v>1</v>
      </c>
      <c r="DV46" s="142">
        <f t="shared" si="59"/>
        <v>1</v>
      </c>
      <c r="DW46" s="166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</row>
    <row r="47" spans="1:268" s="70" customFormat="1" ht="18" customHeight="1">
      <c r="A47" s="246" t="s">
        <v>106</v>
      </c>
      <c r="B47" s="247"/>
      <c r="C47" s="140">
        <f t="shared" ref="C47:J47" si="303">C48+C49+C55+C56+C61+C57+C58+C59+C60+C62</f>
        <v>0</v>
      </c>
      <c r="D47" s="140">
        <f t="shared" si="303"/>
        <v>0</v>
      </c>
      <c r="E47" s="140">
        <f t="shared" si="303"/>
        <v>0</v>
      </c>
      <c r="F47" s="140">
        <f t="shared" si="303"/>
        <v>0</v>
      </c>
      <c r="G47" s="140">
        <f t="shared" si="303"/>
        <v>0</v>
      </c>
      <c r="H47" s="140">
        <f t="shared" si="303"/>
        <v>0</v>
      </c>
      <c r="I47" s="140">
        <f t="shared" si="303"/>
        <v>0</v>
      </c>
      <c r="J47" s="140">
        <f t="shared" si="303"/>
        <v>0</v>
      </c>
      <c r="K47" s="132">
        <f t="shared" si="301"/>
        <v>0</v>
      </c>
      <c r="L47" s="132">
        <f t="shared" si="301"/>
        <v>0</v>
      </c>
      <c r="M47" s="140">
        <f t="shared" ref="M47:AZ47" si="304">M48+M49+M55+M56+M61+M57+M58+M59+M60+M62</f>
        <v>0</v>
      </c>
      <c r="N47" s="140">
        <f t="shared" si="304"/>
        <v>0</v>
      </c>
      <c r="O47" s="140">
        <f t="shared" si="304"/>
        <v>0</v>
      </c>
      <c r="P47" s="140">
        <f t="shared" si="304"/>
        <v>0</v>
      </c>
      <c r="Q47" s="140">
        <f t="shared" si="304"/>
        <v>0</v>
      </c>
      <c r="R47" s="140">
        <f t="shared" si="304"/>
        <v>0</v>
      </c>
      <c r="S47" s="140">
        <f t="shared" si="304"/>
        <v>0</v>
      </c>
      <c r="T47" s="140">
        <f t="shared" si="304"/>
        <v>0</v>
      </c>
      <c r="U47" s="140">
        <f t="shared" si="304"/>
        <v>0</v>
      </c>
      <c r="V47" s="140">
        <f t="shared" si="304"/>
        <v>0</v>
      </c>
      <c r="W47" s="140">
        <f t="shared" si="304"/>
        <v>0</v>
      </c>
      <c r="X47" s="140">
        <f t="shared" si="304"/>
        <v>0</v>
      </c>
      <c r="Y47" s="140">
        <f t="shared" si="304"/>
        <v>0</v>
      </c>
      <c r="Z47" s="140">
        <f t="shared" si="304"/>
        <v>0</v>
      </c>
      <c r="AA47" s="140">
        <f t="shared" si="304"/>
        <v>0</v>
      </c>
      <c r="AB47" s="140">
        <f t="shared" si="304"/>
        <v>0</v>
      </c>
      <c r="AC47" s="140">
        <f t="shared" si="304"/>
        <v>0</v>
      </c>
      <c r="AD47" s="140">
        <f t="shared" si="304"/>
        <v>0</v>
      </c>
      <c r="AE47" s="140">
        <f t="shared" si="304"/>
        <v>0</v>
      </c>
      <c r="AF47" s="140">
        <f t="shared" si="304"/>
        <v>0</v>
      </c>
      <c r="AG47" s="140">
        <f t="shared" si="304"/>
        <v>0</v>
      </c>
      <c r="AH47" s="140">
        <f t="shared" si="304"/>
        <v>0</v>
      </c>
      <c r="AI47" s="140">
        <f t="shared" si="304"/>
        <v>0</v>
      </c>
      <c r="AJ47" s="140">
        <f t="shared" si="304"/>
        <v>0</v>
      </c>
      <c r="AK47" s="140">
        <f t="shared" si="304"/>
        <v>0</v>
      </c>
      <c r="AL47" s="140">
        <f t="shared" si="304"/>
        <v>0</v>
      </c>
      <c r="AM47" s="140">
        <f t="shared" si="304"/>
        <v>0</v>
      </c>
      <c r="AN47" s="140">
        <f t="shared" si="304"/>
        <v>0</v>
      </c>
      <c r="AO47" s="140">
        <f t="shared" si="304"/>
        <v>0</v>
      </c>
      <c r="AP47" s="140">
        <f t="shared" si="304"/>
        <v>0</v>
      </c>
      <c r="AQ47" s="140">
        <f t="shared" si="304"/>
        <v>0</v>
      </c>
      <c r="AR47" s="140">
        <f t="shared" si="304"/>
        <v>0</v>
      </c>
      <c r="AS47" s="140">
        <f t="shared" si="304"/>
        <v>0</v>
      </c>
      <c r="AT47" s="140">
        <f t="shared" si="304"/>
        <v>0</v>
      </c>
      <c r="AU47" s="140">
        <f t="shared" si="304"/>
        <v>0</v>
      </c>
      <c r="AV47" s="140">
        <f t="shared" si="304"/>
        <v>0</v>
      </c>
      <c r="AW47" s="140">
        <f t="shared" si="304"/>
        <v>0</v>
      </c>
      <c r="AX47" s="140">
        <f t="shared" si="304"/>
        <v>0</v>
      </c>
      <c r="AY47" s="140">
        <f t="shared" si="304"/>
        <v>0</v>
      </c>
      <c r="AZ47" s="140">
        <f t="shared" si="304"/>
        <v>0</v>
      </c>
      <c r="BA47" s="142">
        <f t="shared" si="300"/>
        <v>1</v>
      </c>
      <c r="BB47" s="142">
        <f t="shared" si="300"/>
        <v>1</v>
      </c>
      <c r="BC47" s="140">
        <f t="shared" ref="BC47:BH47" si="305">BC48+BC49+BC55+BC56+BC61+BC57+BC58+BC59+BC60+BC62</f>
        <v>0</v>
      </c>
      <c r="BD47" s="140">
        <f t="shared" si="305"/>
        <v>0</v>
      </c>
      <c r="BE47" s="140">
        <f t="shared" si="305"/>
        <v>0</v>
      </c>
      <c r="BF47" s="140">
        <f t="shared" si="305"/>
        <v>0</v>
      </c>
      <c r="BG47" s="140">
        <f t="shared" si="305"/>
        <v>0</v>
      </c>
      <c r="BH47" s="140">
        <f t="shared" si="305"/>
        <v>0</v>
      </c>
      <c r="BI47" s="142">
        <f t="shared" si="272"/>
        <v>1</v>
      </c>
      <c r="BJ47" s="142">
        <f t="shared" si="272"/>
        <v>1</v>
      </c>
      <c r="BK47" s="140">
        <f>BK48+BK49+BK55+BK56+BK61+BK57+BK58+BK59+BK60+BK62</f>
        <v>0</v>
      </c>
      <c r="BL47" s="140">
        <f>BL48+BL49+BL55+BL56+BL61+BL57+BL58+BL59+BL60+BL62</f>
        <v>0</v>
      </c>
      <c r="BM47" s="140">
        <f>BM48+BM49+BM55+BM56+BM61+BM57+BM58+BM59+BM60+BM62</f>
        <v>0</v>
      </c>
      <c r="BN47" s="140">
        <f>BN48+BN49+BN55+BN56+BN61+BN57+BN58+BN59+BN60+BN62</f>
        <v>0</v>
      </c>
      <c r="BO47" s="142">
        <f t="shared" si="273"/>
        <v>1</v>
      </c>
      <c r="BP47" s="142">
        <f t="shared" si="273"/>
        <v>1</v>
      </c>
      <c r="BQ47" s="140">
        <f>BQ48+BQ49+BQ55+BQ56+BQ61+BQ57+BQ58+BQ59+BQ60+BQ62</f>
        <v>0</v>
      </c>
      <c r="BR47" s="140">
        <f>BR48+BR49+BR55+BR56+BR61+BR57+BR58+BR59+BR60+BR62</f>
        <v>0</v>
      </c>
      <c r="BS47" s="140">
        <f>BS48+BS49+BS55+BS56+BS61+BS57+BS58+BS59+BS60+BS62</f>
        <v>0</v>
      </c>
      <c r="BT47" s="140">
        <f>BT48+BT49+BT55+BT56+BT61+BT57+BT58+BT59+BT60+BT62</f>
        <v>0</v>
      </c>
      <c r="BU47" s="142">
        <f t="shared" si="274"/>
        <v>1</v>
      </c>
      <c r="BV47" s="142">
        <f t="shared" si="274"/>
        <v>1</v>
      </c>
      <c r="BW47" s="140">
        <f>BW48+BW49+BW55+BW56+BW61+BW57+BW58+BW59+BW60+BW62</f>
        <v>0</v>
      </c>
      <c r="BX47" s="140">
        <f>BX48+BX49+BX55+BX56+BX61+BX57+BX58+BX59+BX60+BX62</f>
        <v>0</v>
      </c>
      <c r="BY47" s="140">
        <f>BY48+BY49+BY55+BY56+BY61+BY57+BY58+BY59+BY60+BY62</f>
        <v>0</v>
      </c>
      <c r="BZ47" s="140">
        <f>BZ48+BZ49+BZ55+BZ56+BZ61+BZ57+BZ58+BZ59+BZ60+BZ62</f>
        <v>0</v>
      </c>
      <c r="CA47" s="142">
        <f t="shared" si="275"/>
        <v>1</v>
      </c>
      <c r="CB47" s="142">
        <f t="shared" si="275"/>
        <v>1</v>
      </c>
      <c r="CC47" s="140">
        <f>CC48+CC49+CC55+CC56+CC61+CC57+CC58+CC59+CC60+CC62</f>
        <v>0</v>
      </c>
      <c r="CD47" s="140">
        <f>CD48+CD49+CD55+CD56+CD61+CD57+CD58+CD59+CD60+CD62</f>
        <v>0</v>
      </c>
      <c r="CE47" s="140">
        <f>CE48+CE49+CE55+CE56+CE61+CE57+CE58+CE59+CE60+CE62</f>
        <v>0</v>
      </c>
      <c r="CF47" s="140">
        <f>CF48+CF49+CF55+CF56+CF61+CF57+CF58+CF59+CF60+CF62</f>
        <v>0</v>
      </c>
      <c r="CG47" s="142">
        <f t="shared" si="276"/>
        <v>1</v>
      </c>
      <c r="CH47" s="142">
        <f t="shared" si="276"/>
        <v>1</v>
      </c>
      <c r="CI47" s="140">
        <f>CI48+CI49+CI55+CI56+CI61+CI57+CI58+CI59+CI60+CI62</f>
        <v>0</v>
      </c>
      <c r="CJ47" s="140">
        <f>CJ48+CJ49+CJ55+CJ56+CJ61+CJ57+CJ58+CJ59+CJ60+CJ62</f>
        <v>0</v>
      </c>
      <c r="CK47" s="140">
        <f>CK48+CK49+CK55+CK56+CK61+CK57+CK58+CK59+CK60+CK62</f>
        <v>0</v>
      </c>
      <c r="CL47" s="140">
        <f>CL48+CL49+CL55+CL56+CL61+CL57+CL58+CL59+CL60+CL62</f>
        <v>0</v>
      </c>
      <c r="CM47" s="142">
        <f t="shared" si="277"/>
        <v>1</v>
      </c>
      <c r="CN47" s="142">
        <f t="shared" si="277"/>
        <v>1</v>
      </c>
      <c r="CO47" s="140">
        <f>CO48+CO49+CO55+CO56+CO61+CO57+CO58+CO59+CO60+CO62</f>
        <v>0</v>
      </c>
      <c r="CP47" s="140">
        <f>CP48+CP49+CP55+CP56+CP61+CP57+CP58+CP59+CP60+CP62</f>
        <v>0</v>
      </c>
      <c r="CQ47" s="140">
        <f>CQ48+CQ49+CQ55+CQ56+CQ61+CQ57+CQ58+CQ59+CQ60+CQ62</f>
        <v>0</v>
      </c>
      <c r="CR47" s="140">
        <f>CR48+CR49+CR55+CR56+CR61+CR57+CR58+CR59+CR60+CR62</f>
        <v>0</v>
      </c>
      <c r="CS47" s="142">
        <f t="shared" si="278"/>
        <v>1</v>
      </c>
      <c r="CT47" s="142">
        <f t="shared" si="278"/>
        <v>1</v>
      </c>
      <c r="CU47" s="140">
        <f>CU48+CU49+CU55+CU56+CU61+CU57+CU58+CU59+CU60+CU62</f>
        <v>0</v>
      </c>
      <c r="CV47" s="140">
        <f>CV48+CV49+CV55+CV56+CV61+CV57+CV58+CV59+CV60+CV62</f>
        <v>0</v>
      </c>
      <c r="CW47" s="140">
        <f>CW48+CW49+CW55+CW56+CW61+CW57+CW58+CW59+CW60+CW62</f>
        <v>0</v>
      </c>
      <c r="CX47" s="140">
        <f>CX48+CX49+CX55+CX56+CX61+CX57+CX58+CX59+CX60+CX62</f>
        <v>0</v>
      </c>
      <c r="CY47" s="142">
        <f t="shared" si="279"/>
        <v>1</v>
      </c>
      <c r="CZ47" s="142">
        <f t="shared" si="279"/>
        <v>1</v>
      </c>
      <c r="DA47" s="140">
        <f>DA48+DA49+DA55+DA56+DA61+DA57+DA58+DA59+DA60+DA62</f>
        <v>0</v>
      </c>
      <c r="DB47" s="140">
        <f>DB48+DB49+DB55+DB56+DB61+DB57+DB58+DB59+DB60+DB62</f>
        <v>0</v>
      </c>
      <c r="DC47" s="140">
        <f>DC48+DC49+DC55+DC56+DC61+DC57+DC58+DC59+DC60+DC62</f>
        <v>0</v>
      </c>
      <c r="DD47" s="140">
        <f>DD48+DD49+DD55+DD56+DD61+DD57+DD58+DD59+DD60+DD62</f>
        <v>0</v>
      </c>
      <c r="DE47" s="142">
        <f t="shared" si="280"/>
        <v>1</v>
      </c>
      <c r="DF47" s="142">
        <f t="shared" si="280"/>
        <v>1</v>
      </c>
      <c r="DG47" s="140">
        <f>DG48+DG49+DG55+DG56+DG61+DG57+DG58+DG59+DG60+DG62</f>
        <v>0</v>
      </c>
      <c r="DH47" s="140">
        <f>DH48+DH49+DH55+DH56+DH61+DH57+DH58+DH59+DH60+DH62</f>
        <v>0</v>
      </c>
      <c r="DI47" s="140">
        <f>DI48+DI49+DI55+DI56+DI61+DI57+DI58+DI59+DI60+DI62</f>
        <v>0</v>
      </c>
      <c r="DJ47" s="140">
        <f>DJ48+DJ49+DJ55+DJ56+DJ61+DJ57+DJ58+DJ59+DJ60+DJ62</f>
        <v>0</v>
      </c>
      <c r="DK47" s="142">
        <f t="shared" si="281"/>
        <v>1</v>
      </c>
      <c r="DL47" s="142">
        <f t="shared" si="281"/>
        <v>1</v>
      </c>
      <c r="DM47" s="140">
        <f t="shared" ref="DM47:DR47" si="306">DM48+DM49+DM55+DM56+DM61+DM57+DM58+DM59+DM60+DM62</f>
        <v>0</v>
      </c>
      <c r="DN47" s="140">
        <f t="shared" si="306"/>
        <v>0</v>
      </c>
      <c r="DO47" s="140">
        <f t="shared" si="306"/>
        <v>0</v>
      </c>
      <c r="DP47" s="140">
        <f t="shared" si="306"/>
        <v>0</v>
      </c>
      <c r="DQ47" s="140">
        <f t="shared" si="306"/>
        <v>0</v>
      </c>
      <c r="DR47" s="140">
        <f t="shared" si="306"/>
        <v>0</v>
      </c>
      <c r="DS47" s="142">
        <f>IF($AY$47=0,1,DQ47/$AY$47-1)</f>
        <v>1</v>
      </c>
      <c r="DT47" s="142">
        <f>IF($AZ$47=0,1,DR47/$AZ$47-1)</f>
        <v>1</v>
      </c>
      <c r="DU47" s="142">
        <f t="shared" si="58"/>
        <v>1</v>
      </c>
      <c r="DV47" s="142">
        <f t="shared" si="59"/>
        <v>1</v>
      </c>
      <c r="DW47" s="166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</row>
    <row r="48" spans="1:268" s="64" customFormat="1" ht="21.75" customHeight="1">
      <c r="A48" s="228" t="s">
        <v>132</v>
      </c>
      <c r="B48" s="229"/>
      <c r="C48" s="134">
        <f>'бюджет округа (района)'!C48+'бюджеты поселений'!C48</f>
        <v>0</v>
      </c>
      <c r="D48" s="137">
        <f>'бюджет округа (района)'!C48</f>
        <v>0</v>
      </c>
      <c r="E48" s="134">
        <f t="shared" ref="E48:F48" si="307">G48+I48+M48+Q48+U48+Y48+AC48+AG48+AK48+AO48+AS48+AW48</f>
        <v>0</v>
      </c>
      <c r="F48" s="137">
        <f t="shared" si="307"/>
        <v>0</v>
      </c>
      <c r="G48" s="134">
        <f>'бюджет округа (района)'!E48+'бюджеты поселений'!E48</f>
        <v>0</v>
      </c>
      <c r="H48" s="137">
        <f>'бюджет округа (района)'!E48</f>
        <v>0</v>
      </c>
      <c r="I48" s="134">
        <f>'бюджет округа (района)'!F48+'бюджеты поселений'!F48</f>
        <v>0</v>
      </c>
      <c r="J48" s="137">
        <f>'бюджет округа (района)'!F48</f>
        <v>0</v>
      </c>
      <c r="K48" s="134">
        <f t="shared" si="301"/>
        <v>0</v>
      </c>
      <c r="L48" s="134">
        <f t="shared" si="301"/>
        <v>0</v>
      </c>
      <c r="M48" s="134">
        <f>'бюджет округа (района)'!H48+'бюджеты поселений'!H48</f>
        <v>0</v>
      </c>
      <c r="N48" s="137">
        <f>'бюджет округа (района)'!H48</f>
        <v>0</v>
      </c>
      <c r="O48" s="134"/>
      <c r="P48" s="134"/>
      <c r="Q48" s="134">
        <f>'бюджет округа (района)'!J48+'бюджеты поселений'!J48</f>
        <v>0</v>
      </c>
      <c r="R48" s="137">
        <f>'бюджет округа (района)'!J48</f>
        <v>0</v>
      </c>
      <c r="S48" s="134"/>
      <c r="T48" s="134"/>
      <c r="U48" s="134">
        <f>'бюджет округа (района)'!L48+'бюджеты поселений'!L48</f>
        <v>0</v>
      </c>
      <c r="V48" s="137">
        <f>'бюджет округа (района)'!L48</f>
        <v>0</v>
      </c>
      <c r="W48" s="134"/>
      <c r="X48" s="134"/>
      <c r="Y48" s="134">
        <f>'бюджет округа (района)'!N48+'бюджеты поселений'!N48</f>
        <v>0</v>
      </c>
      <c r="Z48" s="137">
        <f>'бюджет округа (района)'!N48</f>
        <v>0</v>
      </c>
      <c r="AA48" s="134"/>
      <c r="AB48" s="134"/>
      <c r="AC48" s="134">
        <f>'бюджет округа (района)'!P48+'бюджеты поселений'!P48</f>
        <v>0</v>
      </c>
      <c r="AD48" s="137">
        <f>'бюджет округа (района)'!P48</f>
        <v>0</v>
      </c>
      <c r="AE48" s="134"/>
      <c r="AF48" s="134"/>
      <c r="AG48" s="134">
        <f>'бюджет округа (района)'!R48+'бюджеты поселений'!R48</f>
        <v>0</v>
      </c>
      <c r="AH48" s="137">
        <f>'бюджет округа (района)'!R48</f>
        <v>0</v>
      </c>
      <c r="AI48" s="134"/>
      <c r="AJ48" s="134"/>
      <c r="AK48" s="134">
        <f>'бюджет округа (района)'!T48+'бюджеты поселений'!T48</f>
        <v>0</v>
      </c>
      <c r="AL48" s="137">
        <f>'бюджет округа (района)'!T48</f>
        <v>0</v>
      </c>
      <c r="AM48" s="134"/>
      <c r="AN48" s="134"/>
      <c r="AO48" s="134">
        <f>'бюджет округа (района)'!V48+'бюджеты поселений'!V48</f>
        <v>0</v>
      </c>
      <c r="AP48" s="137">
        <f>'бюджет округа (района)'!V48</f>
        <v>0</v>
      </c>
      <c r="AQ48" s="134"/>
      <c r="AR48" s="134"/>
      <c r="AS48" s="134">
        <f>'бюджет округа (района)'!X48+'бюджеты поселений'!X48</f>
        <v>0</v>
      </c>
      <c r="AT48" s="137">
        <f>'бюджет округа (района)'!X48</f>
        <v>0</v>
      </c>
      <c r="AU48" s="134"/>
      <c r="AV48" s="134"/>
      <c r="AW48" s="134">
        <f>'бюджет округа (района)'!Z48+'бюджеты поселений'!Z48</f>
        <v>0</v>
      </c>
      <c r="AX48" s="137">
        <f>'бюджет округа (района)'!Z48</f>
        <v>0</v>
      </c>
      <c r="AY48" s="134">
        <f>'бюджет округа (района)'!AA48+'бюджеты поселений'!AA48</f>
        <v>0</v>
      </c>
      <c r="AZ48" s="137">
        <f>'бюджет округа (района)'!AA48</f>
        <v>0</v>
      </c>
      <c r="BA48" s="135">
        <f t="shared" si="300"/>
        <v>1</v>
      </c>
      <c r="BB48" s="135">
        <f t="shared" si="300"/>
        <v>1</v>
      </c>
      <c r="BC48" s="134">
        <f>'бюджет округа (района)'!AC48+'бюджеты поселений'!AC48</f>
        <v>0</v>
      </c>
      <c r="BD48" s="137">
        <f>'бюджет округа (района)'!AC48</f>
        <v>0</v>
      </c>
      <c r="BE48" s="134">
        <f>'бюджет округа (района)'!AD48+'бюджеты поселений'!AD48</f>
        <v>0</v>
      </c>
      <c r="BF48" s="137">
        <f>'бюджет округа (района)'!AD48</f>
        <v>0</v>
      </c>
      <c r="BG48" s="134">
        <f t="shared" si="302"/>
        <v>0</v>
      </c>
      <c r="BH48" s="134">
        <f t="shared" si="302"/>
        <v>0</v>
      </c>
      <c r="BI48" s="135">
        <f t="shared" si="272"/>
        <v>1</v>
      </c>
      <c r="BJ48" s="135">
        <f t="shared" si="272"/>
        <v>1</v>
      </c>
      <c r="BK48" s="134">
        <f>'бюджет округа (района)'!AG48+'бюджеты поселений'!AG48</f>
        <v>0</v>
      </c>
      <c r="BL48" s="137">
        <f>'бюджет округа (района)'!AG48</f>
        <v>0</v>
      </c>
      <c r="BM48" s="134"/>
      <c r="BN48" s="134"/>
      <c r="BO48" s="135">
        <f t="shared" si="273"/>
        <v>1</v>
      </c>
      <c r="BP48" s="135">
        <f t="shared" si="273"/>
        <v>1</v>
      </c>
      <c r="BQ48" s="134">
        <f>'бюджет округа (района)'!AJ48+'бюджеты поселений'!AJ48</f>
        <v>0</v>
      </c>
      <c r="BR48" s="137">
        <f>'бюджет округа (района)'!AJ48</f>
        <v>0</v>
      </c>
      <c r="BS48" s="134"/>
      <c r="BT48" s="134"/>
      <c r="BU48" s="135">
        <f t="shared" si="274"/>
        <v>1</v>
      </c>
      <c r="BV48" s="135">
        <f t="shared" si="274"/>
        <v>1</v>
      </c>
      <c r="BW48" s="134">
        <f>'бюджет округа (района)'!AM48+'бюджеты поселений'!AM48</f>
        <v>0</v>
      </c>
      <c r="BX48" s="137">
        <f>'бюджет округа (района)'!AM48</f>
        <v>0</v>
      </c>
      <c r="BY48" s="134"/>
      <c r="BZ48" s="134"/>
      <c r="CA48" s="135">
        <f t="shared" si="275"/>
        <v>1</v>
      </c>
      <c r="CB48" s="135">
        <f t="shared" si="275"/>
        <v>1</v>
      </c>
      <c r="CC48" s="134">
        <f>'бюджет округа (района)'!AP48+'бюджеты поселений'!AP48</f>
        <v>0</v>
      </c>
      <c r="CD48" s="137">
        <f>'бюджет округа (района)'!AP48</f>
        <v>0</v>
      </c>
      <c r="CE48" s="134"/>
      <c r="CF48" s="134"/>
      <c r="CG48" s="135">
        <f t="shared" si="276"/>
        <v>1</v>
      </c>
      <c r="CH48" s="135">
        <f t="shared" si="276"/>
        <v>1</v>
      </c>
      <c r="CI48" s="134">
        <f>'бюджет округа (района)'!AS48+'бюджеты поселений'!AS48</f>
        <v>0</v>
      </c>
      <c r="CJ48" s="137">
        <f>'бюджет округа (района)'!AS48</f>
        <v>0</v>
      </c>
      <c r="CK48" s="134"/>
      <c r="CL48" s="134"/>
      <c r="CM48" s="135">
        <f t="shared" si="277"/>
        <v>1</v>
      </c>
      <c r="CN48" s="135">
        <f t="shared" si="277"/>
        <v>1</v>
      </c>
      <c r="CO48" s="134">
        <f>'бюджет округа (района)'!AV48+'бюджеты поселений'!AV48</f>
        <v>0</v>
      </c>
      <c r="CP48" s="137">
        <f>'бюджет округа (района)'!AV48</f>
        <v>0</v>
      </c>
      <c r="CQ48" s="134"/>
      <c r="CR48" s="134"/>
      <c r="CS48" s="135">
        <f t="shared" si="278"/>
        <v>1</v>
      </c>
      <c r="CT48" s="135">
        <f t="shared" si="278"/>
        <v>1</v>
      </c>
      <c r="CU48" s="134">
        <f>'бюджет округа (района)'!AY48+'бюджеты поселений'!AY48</f>
        <v>0</v>
      </c>
      <c r="CV48" s="137">
        <f>'бюджет округа (района)'!AY48</f>
        <v>0</v>
      </c>
      <c r="CW48" s="134"/>
      <c r="CX48" s="134"/>
      <c r="CY48" s="135">
        <f t="shared" si="279"/>
        <v>1</v>
      </c>
      <c r="CZ48" s="135">
        <f t="shared" si="279"/>
        <v>1</v>
      </c>
      <c r="DA48" s="134">
        <f>'бюджет округа (района)'!BB48+'бюджеты поселений'!BB48</f>
        <v>0</v>
      </c>
      <c r="DB48" s="137">
        <f>'бюджет округа (района)'!BB48</f>
        <v>0</v>
      </c>
      <c r="DC48" s="134"/>
      <c r="DD48" s="134"/>
      <c r="DE48" s="135">
        <f t="shared" si="280"/>
        <v>1</v>
      </c>
      <c r="DF48" s="135">
        <f t="shared" si="280"/>
        <v>1</v>
      </c>
      <c r="DG48" s="134">
        <f>'бюджет округа (района)'!BE48+'бюджеты поселений'!BE48</f>
        <v>0</v>
      </c>
      <c r="DH48" s="137">
        <f>'бюджет округа (района)'!BE48</f>
        <v>0</v>
      </c>
      <c r="DI48" s="134"/>
      <c r="DJ48" s="134"/>
      <c r="DK48" s="135">
        <f t="shared" si="281"/>
        <v>1</v>
      </c>
      <c r="DL48" s="135">
        <f t="shared" si="281"/>
        <v>1</v>
      </c>
      <c r="DM48" s="134">
        <f>'бюджет округа (района)'!BH48+'бюджеты поселений'!BH48</f>
        <v>0</v>
      </c>
      <c r="DN48" s="137">
        <f>'бюджет округа (района)'!BH48</f>
        <v>0</v>
      </c>
      <c r="DO48" s="134">
        <f>'бюджет округа (района)'!BI48+'бюджеты поселений'!BI48</f>
        <v>0</v>
      </c>
      <c r="DP48" s="137">
        <f>'бюджет округа (района)'!BI48</f>
        <v>0</v>
      </c>
      <c r="DQ48" s="134">
        <f>'бюджет округа (района)'!BJ48+'бюджеты поселений'!BJ48</f>
        <v>0</v>
      </c>
      <c r="DR48" s="137">
        <f>'бюджет округа (района)'!BJ48</f>
        <v>0</v>
      </c>
      <c r="DS48" s="135">
        <f>IF($AY$48=0,1,DQ48/$AY$48-1)</f>
        <v>1</v>
      </c>
      <c r="DT48" s="135">
        <f>IF($AZ$48=0,1,DR48/$AZ$48-1)</f>
        <v>1</v>
      </c>
      <c r="DU48" s="135">
        <f t="shared" si="58"/>
        <v>1</v>
      </c>
      <c r="DV48" s="135">
        <f t="shared" si="59"/>
        <v>1</v>
      </c>
      <c r="DW48" s="167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6" customFormat="1" ht="18" customHeight="1">
      <c r="A49" s="228" t="s">
        <v>108</v>
      </c>
      <c r="B49" s="229"/>
      <c r="C49" s="137">
        <f>C50+C51+C52</f>
        <v>0</v>
      </c>
      <c r="D49" s="137">
        <f t="shared" ref="D49:AV49" si="308">D50+D51+D52</f>
        <v>0</v>
      </c>
      <c r="E49" s="137">
        <f t="shared" si="308"/>
        <v>0</v>
      </c>
      <c r="F49" s="137">
        <f t="shared" si="308"/>
        <v>0</v>
      </c>
      <c r="G49" s="137">
        <f>G50+G51+G52</f>
        <v>0</v>
      </c>
      <c r="H49" s="137">
        <f t="shared" ref="H49" si="309">H50+H51+H52</f>
        <v>0</v>
      </c>
      <c r="I49" s="137">
        <f>I50+I51+I52</f>
        <v>0</v>
      </c>
      <c r="J49" s="137">
        <f t="shared" ref="J49" si="310">J50+J51+J52</f>
        <v>0</v>
      </c>
      <c r="K49" s="134">
        <f t="shared" si="301"/>
        <v>0</v>
      </c>
      <c r="L49" s="134">
        <f t="shared" si="301"/>
        <v>0</v>
      </c>
      <c r="M49" s="137">
        <f>M50+M51+M52</f>
        <v>0</v>
      </c>
      <c r="N49" s="137">
        <f t="shared" ref="N49" si="311">N50+N51+N52</f>
        <v>0</v>
      </c>
      <c r="O49" s="137">
        <f t="shared" si="308"/>
        <v>0</v>
      </c>
      <c r="P49" s="137">
        <f t="shared" si="308"/>
        <v>0</v>
      </c>
      <c r="Q49" s="137">
        <f>Q50+Q51+Q52</f>
        <v>0</v>
      </c>
      <c r="R49" s="137">
        <f t="shared" ref="R49" si="312">R50+R51+R52</f>
        <v>0</v>
      </c>
      <c r="S49" s="137">
        <f t="shared" si="308"/>
        <v>0</v>
      </c>
      <c r="T49" s="137">
        <f t="shared" si="308"/>
        <v>0</v>
      </c>
      <c r="U49" s="137">
        <f>U50+U51+U52</f>
        <v>0</v>
      </c>
      <c r="V49" s="137">
        <f t="shared" ref="V49" si="313">V50+V51+V52</f>
        <v>0</v>
      </c>
      <c r="W49" s="137">
        <f t="shared" si="308"/>
        <v>0</v>
      </c>
      <c r="X49" s="137">
        <f t="shared" si="308"/>
        <v>0</v>
      </c>
      <c r="Y49" s="137">
        <f>Y50+Y51+Y52</f>
        <v>0</v>
      </c>
      <c r="Z49" s="137">
        <f t="shared" ref="Z49" si="314">Z50+Z51+Z52</f>
        <v>0</v>
      </c>
      <c r="AA49" s="137">
        <f t="shared" si="308"/>
        <v>0</v>
      </c>
      <c r="AB49" s="137">
        <f t="shared" si="308"/>
        <v>0</v>
      </c>
      <c r="AC49" s="137">
        <f>AC50+AC51+AC52</f>
        <v>0</v>
      </c>
      <c r="AD49" s="137">
        <f t="shared" ref="AD49" si="315">AD50+AD51+AD52</f>
        <v>0</v>
      </c>
      <c r="AE49" s="137">
        <f t="shared" si="308"/>
        <v>0</v>
      </c>
      <c r="AF49" s="137">
        <f t="shared" si="308"/>
        <v>0</v>
      </c>
      <c r="AG49" s="137">
        <f>AG50+AG51+AG52</f>
        <v>0</v>
      </c>
      <c r="AH49" s="137">
        <f t="shared" ref="AH49" si="316">AH50+AH51+AH52</f>
        <v>0</v>
      </c>
      <c r="AI49" s="137">
        <f t="shared" si="308"/>
        <v>0</v>
      </c>
      <c r="AJ49" s="137">
        <f t="shared" si="308"/>
        <v>0</v>
      </c>
      <c r="AK49" s="137">
        <f>AK50+AK51+AK52</f>
        <v>0</v>
      </c>
      <c r="AL49" s="137">
        <f t="shared" ref="AL49" si="317">AL50+AL51+AL52</f>
        <v>0</v>
      </c>
      <c r="AM49" s="137">
        <f t="shared" si="308"/>
        <v>0</v>
      </c>
      <c r="AN49" s="137">
        <f t="shared" si="308"/>
        <v>0</v>
      </c>
      <c r="AO49" s="137">
        <f>AO50+AO51+AO52</f>
        <v>0</v>
      </c>
      <c r="AP49" s="137">
        <f t="shared" ref="AP49" si="318">AP50+AP51+AP52</f>
        <v>0</v>
      </c>
      <c r="AQ49" s="137">
        <f t="shared" si="308"/>
        <v>0</v>
      </c>
      <c r="AR49" s="137">
        <f t="shared" si="308"/>
        <v>0</v>
      </c>
      <c r="AS49" s="137">
        <f>AS50+AS51+AS52</f>
        <v>0</v>
      </c>
      <c r="AT49" s="137">
        <f t="shared" ref="AT49" si="319">AT50+AT51+AT52</f>
        <v>0</v>
      </c>
      <c r="AU49" s="137">
        <f t="shared" si="308"/>
        <v>0</v>
      </c>
      <c r="AV49" s="137">
        <f t="shared" si="308"/>
        <v>0</v>
      </c>
      <c r="AW49" s="137">
        <f>AW50+AW51+AW52</f>
        <v>0</v>
      </c>
      <c r="AX49" s="137">
        <f t="shared" ref="AX49" si="320">AX50+AX51+AX52</f>
        <v>0</v>
      </c>
      <c r="AY49" s="137">
        <f>AY50+AY51+AY52</f>
        <v>0</v>
      </c>
      <c r="AZ49" s="137">
        <f t="shared" ref="AZ49" si="321">AZ50+AZ51+AZ52</f>
        <v>0</v>
      </c>
      <c r="BA49" s="135">
        <f t="shared" si="300"/>
        <v>1</v>
      </c>
      <c r="BB49" s="135">
        <f t="shared" si="300"/>
        <v>1</v>
      </c>
      <c r="BC49" s="137">
        <f>BC50+BC51+BC52</f>
        <v>0</v>
      </c>
      <c r="BD49" s="137">
        <f t="shared" ref="BD49" si="322">BD50+BD51+BD52</f>
        <v>0</v>
      </c>
      <c r="BE49" s="137">
        <f>BE50+BE51+BE52</f>
        <v>0</v>
      </c>
      <c r="BF49" s="137">
        <f t="shared" ref="BF49" si="323">BF50+BF51+BF52</f>
        <v>0</v>
      </c>
      <c r="BG49" s="134">
        <f t="shared" si="302"/>
        <v>0</v>
      </c>
      <c r="BH49" s="134">
        <f t="shared" si="302"/>
        <v>0</v>
      </c>
      <c r="BI49" s="135">
        <f t="shared" si="272"/>
        <v>1</v>
      </c>
      <c r="BJ49" s="135">
        <f t="shared" si="272"/>
        <v>1</v>
      </c>
      <c r="BK49" s="137">
        <f>BK50+BK51+BK52</f>
        <v>0</v>
      </c>
      <c r="BL49" s="137">
        <f t="shared" ref="BL49:DJ49" si="324">BL50+BL51+BL52</f>
        <v>0</v>
      </c>
      <c r="BM49" s="137">
        <f t="shared" si="324"/>
        <v>0</v>
      </c>
      <c r="BN49" s="137">
        <f t="shared" si="324"/>
        <v>0</v>
      </c>
      <c r="BO49" s="135">
        <f t="shared" si="273"/>
        <v>1</v>
      </c>
      <c r="BP49" s="135">
        <f t="shared" si="273"/>
        <v>1</v>
      </c>
      <c r="BQ49" s="137">
        <f>BQ50+BQ51+BQ52</f>
        <v>0</v>
      </c>
      <c r="BR49" s="137">
        <f t="shared" ref="BR49" si="325">BR50+BR51+BR52</f>
        <v>0</v>
      </c>
      <c r="BS49" s="137">
        <f t="shared" si="324"/>
        <v>0</v>
      </c>
      <c r="BT49" s="137">
        <f t="shared" si="324"/>
        <v>0</v>
      </c>
      <c r="BU49" s="135">
        <f t="shared" si="274"/>
        <v>1</v>
      </c>
      <c r="BV49" s="135">
        <f t="shared" si="274"/>
        <v>1</v>
      </c>
      <c r="BW49" s="137">
        <f>BW50+BW51+BW52</f>
        <v>0</v>
      </c>
      <c r="BX49" s="137">
        <f t="shared" ref="BX49" si="326">BX50+BX51+BX52</f>
        <v>0</v>
      </c>
      <c r="BY49" s="137">
        <f t="shared" si="324"/>
        <v>0</v>
      </c>
      <c r="BZ49" s="137">
        <f t="shared" si="324"/>
        <v>0</v>
      </c>
      <c r="CA49" s="135">
        <f t="shared" si="275"/>
        <v>1</v>
      </c>
      <c r="CB49" s="135">
        <f t="shared" si="275"/>
        <v>1</v>
      </c>
      <c r="CC49" s="137">
        <f>CC50+CC51+CC52</f>
        <v>0</v>
      </c>
      <c r="CD49" s="137">
        <f t="shared" ref="CD49" si="327">CD50+CD51+CD52</f>
        <v>0</v>
      </c>
      <c r="CE49" s="137">
        <f t="shared" si="324"/>
        <v>0</v>
      </c>
      <c r="CF49" s="137">
        <f t="shared" si="324"/>
        <v>0</v>
      </c>
      <c r="CG49" s="135">
        <f t="shared" si="276"/>
        <v>1</v>
      </c>
      <c r="CH49" s="135">
        <f t="shared" si="276"/>
        <v>1</v>
      </c>
      <c r="CI49" s="137">
        <f>CI50+CI51+CI52</f>
        <v>0</v>
      </c>
      <c r="CJ49" s="137">
        <f t="shared" ref="CJ49" si="328">CJ50+CJ51+CJ52</f>
        <v>0</v>
      </c>
      <c r="CK49" s="137">
        <f t="shared" si="324"/>
        <v>0</v>
      </c>
      <c r="CL49" s="137">
        <f t="shared" si="324"/>
        <v>0</v>
      </c>
      <c r="CM49" s="135">
        <f t="shared" si="277"/>
        <v>1</v>
      </c>
      <c r="CN49" s="135">
        <f t="shared" si="277"/>
        <v>1</v>
      </c>
      <c r="CO49" s="137">
        <f>CO50+CO51+CO52</f>
        <v>0</v>
      </c>
      <c r="CP49" s="137">
        <f t="shared" ref="CP49" si="329">CP50+CP51+CP52</f>
        <v>0</v>
      </c>
      <c r="CQ49" s="137">
        <f t="shared" si="324"/>
        <v>0</v>
      </c>
      <c r="CR49" s="137">
        <f t="shared" si="324"/>
        <v>0</v>
      </c>
      <c r="CS49" s="135">
        <f t="shared" si="278"/>
        <v>1</v>
      </c>
      <c r="CT49" s="135">
        <f t="shared" si="278"/>
        <v>1</v>
      </c>
      <c r="CU49" s="137">
        <f>CU50+CU51+CU52</f>
        <v>0</v>
      </c>
      <c r="CV49" s="137">
        <f t="shared" ref="CV49" si="330">CV50+CV51+CV52</f>
        <v>0</v>
      </c>
      <c r="CW49" s="137">
        <f t="shared" si="324"/>
        <v>0</v>
      </c>
      <c r="CX49" s="137">
        <f t="shared" si="324"/>
        <v>0</v>
      </c>
      <c r="CY49" s="135">
        <f t="shared" si="279"/>
        <v>1</v>
      </c>
      <c r="CZ49" s="135">
        <f t="shared" si="279"/>
        <v>1</v>
      </c>
      <c r="DA49" s="137">
        <f>DA50+DA51+DA52</f>
        <v>0</v>
      </c>
      <c r="DB49" s="137">
        <f t="shared" ref="DB49" si="331">DB50+DB51+DB52</f>
        <v>0</v>
      </c>
      <c r="DC49" s="137">
        <f t="shared" si="324"/>
        <v>0</v>
      </c>
      <c r="DD49" s="137">
        <f t="shared" si="324"/>
        <v>0</v>
      </c>
      <c r="DE49" s="135">
        <f t="shared" si="280"/>
        <v>1</v>
      </c>
      <c r="DF49" s="135">
        <f t="shared" si="280"/>
        <v>1</v>
      </c>
      <c r="DG49" s="137">
        <f>DG50+DG51+DG52</f>
        <v>0</v>
      </c>
      <c r="DH49" s="137">
        <f t="shared" ref="DH49" si="332">DH50+DH51+DH52</f>
        <v>0</v>
      </c>
      <c r="DI49" s="137">
        <f t="shared" si="324"/>
        <v>0</v>
      </c>
      <c r="DJ49" s="137">
        <f t="shared" si="324"/>
        <v>0</v>
      </c>
      <c r="DK49" s="135">
        <f t="shared" si="281"/>
        <v>1</v>
      </c>
      <c r="DL49" s="135">
        <f t="shared" si="281"/>
        <v>1</v>
      </c>
      <c r="DM49" s="137">
        <f>DM50+DM51+DM52</f>
        <v>0</v>
      </c>
      <c r="DN49" s="137">
        <f t="shared" ref="DN49" si="333">DN50+DN51+DN52</f>
        <v>0</v>
      </c>
      <c r="DO49" s="137">
        <f>DO50+DO51+DO52</f>
        <v>0</v>
      </c>
      <c r="DP49" s="137">
        <f t="shared" ref="DP49" si="334">DP50+DP51+DP52</f>
        <v>0</v>
      </c>
      <c r="DQ49" s="137">
        <f>DQ50+DQ51+DQ52</f>
        <v>0</v>
      </c>
      <c r="DR49" s="137">
        <f t="shared" ref="DR49" si="335">DR50+DR51+DR52</f>
        <v>0</v>
      </c>
      <c r="DS49" s="135">
        <f>IF($AY$49=0,1,DQ49/$AY$49-1)</f>
        <v>1</v>
      </c>
      <c r="DT49" s="135">
        <f>IF($AZ$49=0,1,DR49/$AZ$49-1)</f>
        <v>1</v>
      </c>
      <c r="DU49" s="135">
        <f t="shared" si="58"/>
        <v>1</v>
      </c>
      <c r="DV49" s="135">
        <f>IF($F49=0,1,DR49/$F49-1)</f>
        <v>1</v>
      </c>
      <c r="DW49" s="167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28" t="s">
        <v>110</v>
      </c>
      <c r="B50" s="229"/>
      <c r="C50" s="134">
        <f>'бюджет округа (района)'!C50+'бюджеты поселений'!C50</f>
        <v>0</v>
      </c>
      <c r="D50" s="137">
        <f>'бюджет округа (района)'!C50</f>
        <v>0</v>
      </c>
      <c r="E50" s="134">
        <f t="shared" ref="E50:F65" si="336">G50+I50+M50+Q50+U50+Y50+AC50+AG50+AK50+AO50+AS50+AW50</f>
        <v>0</v>
      </c>
      <c r="F50" s="137">
        <f t="shared" si="336"/>
        <v>0</v>
      </c>
      <c r="G50" s="134">
        <f>'бюджет округа (района)'!E50+'бюджеты поселений'!E50</f>
        <v>0</v>
      </c>
      <c r="H50" s="137">
        <f>'бюджет округа (района)'!E50</f>
        <v>0</v>
      </c>
      <c r="I50" s="134">
        <f>'бюджет округа (района)'!F50+'бюджеты поселений'!F50</f>
        <v>0</v>
      </c>
      <c r="J50" s="137">
        <f>'бюджет округа (района)'!F50</f>
        <v>0</v>
      </c>
      <c r="K50" s="134">
        <f t="shared" si="301"/>
        <v>0</v>
      </c>
      <c r="L50" s="134">
        <f t="shared" si="301"/>
        <v>0</v>
      </c>
      <c r="M50" s="134">
        <f>'бюджет округа (района)'!H50+'бюджеты поселений'!H50</f>
        <v>0</v>
      </c>
      <c r="N50" s="137">
        <f>'бюджет округа (района)'!H50</f>
        <v>0</v>
      </c>
      <c r="O50" s="134"/>
      <c r="P50" s="134"/>
      <c r="Q50" s="134">
        <f>'бюджет округа (района)'!J50+'бюджеты поселений'!J50</f>
        <v>0</v>
      </c>
      <c r="R50" s="137">
        <f>'бюджет округа (района)'!J50</f>
        <v>0</v>
      </c>
      <c r="S50" s="134"/>
      <c r="T50" s="134"/>
      <c r="U50" s="134">
        <f>'бюджет округа (района)'!L50+'бюджеты поселений'!L50</f>
        <v>0</v>
      </c>
      <c r="V50" s="137">
        <f>'бюджет округа (района)'!L50</f>
        <v>0</v>
      </c>
      <c r="W50" s="134"/>
      <c r="X50" s="134"/>
      <c r="Y50" s="134">
        <f>'бюджет округа (района)'!N50+'бюджеты поселений'!N50</f>
        <v>0</v>
      </c>
      <c r="Z50" s="137">
        <f>'бюджет округа (района)'!N50</f>
        <v>0</v>
      </c>
      <c r="AA50" s="134"/>
      <c r="AB50" s="134"/>
      <c r="AC50" s="134">
        <f>'бюджет округа (района)'!P50+'бюджеты поселений'!P50</f>
        <v>0</v>
      </c>
      <c r="AD50" s="137">
        <f>'бюджет округа (района)'!P50</f>
        <v>0</v>
      </c>
      <c r="AE50" s="134"/>
      <c r="AF50" s="134"/>
      <c r="AG50" s="134">
        <f>'бюджет округа (района)'!R50+'бюджеты поселений'!R50</f>
        <v>0</v>
      </c>
      <c r="AH50" s="137">
        <f>'бюджет округа (района)'!R50</f>
        <v>0</v>
      </c>
      <c r="AI50" s="134"/>
      <c r="AJ50" s="134"/>
      <c r="AK50" s="134">
        <f>'бюджет округа (района)'!T50+'бюджеты поселений'!T50</f>
        <v>0</v>
      </c>
      <c r="AL50" s="137">
        <f>'бюджет округа (района)'!T50</f>
        <v>0</v>
      </c>
      <c r="AM50" s="134"/>
      <c r="AN50" s="134"/>
      <c r="AO50" s="134">
        <f>'бюджет округа (района)'!V50+'бюджеты поселений'!V50</f>
        <v>0</v>
      </c>
      <c r="AP50" s="137">
        <f>'бюджет округа (района)'!V50</f>
        <v>0</v>
      </c>
      <c r="AQ50" s="134"/>
      <c r="AR50" s="134"/>
      <c r="AS50" s="134">
        <f>'бюджет округа (района)'!X50+'бюджеты поселений'!X50</f>
        <v>0</v>
      </c>
      <c r="AT50" s="137">
        <f>'бюджет округа (района)'!X50</f>
        <v>0</v>
      </c>
      <c r="AU50" s="134"/>
      <c r="AV50" s="134"/>
      <c r="AW50" s="134">
        <f>'бюджет округа (района)'!Z50+'бюджеты поселений'!Z50</f>
        <v>0</v>
      </c>
      <c r="AX50" s="137">
        <f>'бюджет округа (района)'!Z50</f>
        <v>0</v>
      </c>
      <c r="AY50" s="134">
        <f>'бюджет округа (района)'!AA50+'бюджеты поселений'!AA50</f>
        <v>0</v>
      </c>
      <c r="AZ50" s="137">
        <f>'бюджет округа (района)'!AA50</f>
        <v>0</v>
      </c>
      <c r="BA50" s="135">
        <f t="shared" si="300"/>
        <v>1</v>
      </c>
      <c r="BB50" s="135">
        <f t="shared" si="300"/>
        <v>1</v>
      </c>
      <c r="BC50" s="134">
        <f>'бюджет округа (района)'!AC50+'бюджеты поселений'!AC50</f>
        <v>0</v>
      </c>
      <c r="BD50" s="137">
        <f>'бюджет округа (района)'!AC50</f>
        <v>0</v>
      </c>
      <c r="BE50" s="134">
        <f>'бюджет округа (района)'!AD50+'бюджеты поселений'!AD50</f>
        <v>0</v>
      </c>
      <c r="BF50" s="137">
        <f>'бюджет округа (района)'!AD50</f>
        <v>0</v>
      </c>
      <c r="BG50" s="134">
        <f t="shared" si="302"/>
        <v>0</v>
      </c>
      <c r="BH50" s="134">
        <f t="shared" si="302"/>
        <v>0</v>
      </c>
      <c r="BI50" s="135">
        <f t="shared" si="272"/>
        <v>1</v>
      </c>
      <c r="BJ50" s="135">
        <f t="shared" si="272"/>
        <v>1</v>
      </c>
      <c r="BK50" s="134">
        <f>'бюджет округа (района)'!AG50+'бюджеты поселений'!AG50</f>
        <v>0</v>
      </c>
      <c r="BL50" s="137">
        <f>'бюджет округа (района)'!AG50</f>
        <v>0</v>
      </c>
      <c r="BM50" s="134"/>
      <c r="BN50" s="134"/>
      <c r="BO50" s="135">
        <f t="shared" si="273"/>
        <v>1</v>
      </c>
      <c r="BP50" s="135">
        <f t="shared" si="273"/>
        <v>1</v>
      </c>
      <c r="BQ50" s="134">
        <f>'бюджет округа (района)'!AJ50+'бюджеты поселений'!AJ50</f>
        <v>0</v>
      </c>
      <c r="BR50" s="137">
        <f>'бюджет округа (района)'!AJ50</f>
        <v>0</v>
      </c>
      <c r="BS50" s="134"/>
      <c r="BT50" s="134"/>
      <c r="BU50" s="135">
        <f t="shared" si="274"/>
        <v>1</v>
      </c>
      <c r="BV50" s="135">
        <f t="shared" si="274"/>
        <v>1</v>
      </c>
      <c r="BW50" s="134">
        <f>'бюджет округа (района)'!AM50+'бюджеты поселений'!AM50</f>
        <v>0</v>
      </c>
      <c r="BX50" s="137">
        <f>'бюджет округа (района)'!AM50</f>
        <v>0</v>
      </c>
      <c r="BY50" s="134"/>
      <c r="BZ50" s="134"/>
      <c r="CA50" s="135">
        <f t="shared" si="275"/>
        <v>1</v>
      </c>
      <c r="CB50" s="135">
        <f t="shared" si="275"/>
        <v>1</v>
      </c>
      <c r="CC50" s="134">
        <f>'бюджет округа (района)'!AP50+'бюджеты поселений'!AP50</f>
        <v>0</v>
      </c>
      <c r="CD50" s="137">
        <f>'бюджет округа (района)'!AP50</f>
        <v>0</v>
      </c>
      <c r="CE50" s="134"/>
      <c r="CF50" s="134"/>
      <c r="CG50" s="135">
        <f t="shared" si="276"/>
        <v>1</v>
      </c>
      <c r="CH50" s="135">
        <f t="shared" si="276"/>
        <v>1</v>
      </c>
      <c r="CI50" s="134">
        <f>'бюджет округа (района)'!AS50+'бюджеты поселений'!AS50</f>
        <v>0</v>
      </c>
      <c r="CJ50" s="137">
        <f>'бюджет округа (района)'!AS50</f>
        <v>0</v>
      </c>
      <c r="CK50" s="134"/>
      <c r="CL50" s="134"/>
      <c r="CM50" s="135">
        <f t="shared" si="277"/>
        <v>1</v>
      </c>
      <c r="CN50" s="135">
        <f t="shared" si="277"/>
        <v>1</v>
      </c>
      <c r="CO50" s="134">
        <f>'бюджет округа (района)'!AV50+'бюджеты поселений'!AV50</f>
        <v>0</v>
      </c>
      <c r="CP50" s="137">
        <f>'бюджет округа (района)'!AV50</f>
        <v>0</v>
      </c>
      <c r="CQ50" s="134"/>
      <c r="CR50" s="134"/>
      <c r="CS50" s="135">
        <f t="shared" si="278"/>
        <v>1</v>
      </c>
      <c r="CT50" s="135">
        <f t="shared" si="278"/>
        <v>1</v>
      </c>
      <c r="CU50" s="134">
        <f>'бюджет округа (района)'!AY50+'бюджеты поселений'!AY50</f>
        <v>0</v>
      </c>
      <c r="CV50" s="137">
        <f>'бюджет округа (района)'!AY50</f>
        <v>0</v>
      </c>
      <c r="CW50" s="134"/>
      <c r="CX50" s="134"/>
      <c r="CY50" s="135">
        <f t="shared" si="279"/>
        <v>1</v>
      </c>
      <c r="CZ50" s="135">
        <f t="shared" si="279"/>
        <v>1</v>
      </c>
      <c r="DA50" s="134">
        <f>'бюджет округа (района)'!BB50+'бюджеты поселений'!BB50</f>
        <v>0</v>
      </c>
      <c r="DB50" s="137">
        <f>'бюджет округа (района)'!BB50</f>
        <v>0</v>
      </c>
      <c r="DC50" s="134"/>
      <c r="DD50" s="134"/>
      <c r="DE50" s="135">
        <f t="shared" si="280"/>
        <v>1</v>
      </c>
      <c r="DF50" s="135">
        <f t="shared" si="280"/>
        <v>1</v>
      </c>
      <c r="DG50" s="134">
        <f>'бюджет округа (района)'!BE50+'бюджеты поселений'!BE50</f>
        <v>0</v>
      </c>
      <c r="DH50" s="137">
        <f>'бюджет округа (района)'!BE50</f>
        <v>0</v>
      </c>
      <c r="DI50" s="134"/>
      <c r="DJ50" s="134"/>
      <c r="DK50" s="135">
        <f t="shared" si="281"/>
        <v>1</v>
      </c>
      <c r="DL50" s="135">
        <f t="shared" si="281"/>
        <v>1</v>
      </c>
      <c r="DM50" s="134">
        <f>'бюджет округа (района)'!BH50+'бюджеты поселений'!BH50</f>
        <v>0</v>
      </c>
      <c r="DN50" s="137">
        <f>'бюджет округа (района)'!BH50</f>
        <v>0</v>
      </c>
      <c r="DO50" s="134">
        <f>'бюджет округа (района)'!BI50+'бюджеты поселений'!BI50</f>
        <v>0</v>
      </c>
      <c r="DP50" s="137">
        <f>'бюджет округа (района)'!BI50</f>
        <v>0</v>
      </c>
      <c r="DQ50" s="134">
        <f>'бюджет округа (района)'!BJ50+'бюджеты поселений'!BJ50</f>
        <v>0</v>
      </c>
      <c r="DR50" s="137">
        <f>'бюджет округа (района)'!BJ50</f>
        <v>0</v>
      </c>
      <c r="DS50" s="135">
        <f>IF($AY$50=0,1,DQ50/$AY$50-1)</f>
        <v>1</v>
      </c>
      <c r="DT50" s="135">
        <f>IF($AZ$50=0,1,DR50/$AZ$50-1)</f>
        <v>1</v>
      </c>
      <c r="DU50" s="135">
        <f t="shared" si="58"/>
        <v>1</v>
      </c>
      <c r="DV50" s="135">
        <f t="shared" si="59"/>
        <v>1</v>
      </c>
      <c r="DW50" s="167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28" t="s">
        <v>111</v>
      </c>
      <c r="B51" s="229"/>
      <c r="C51" s="134">
        <f>'бюджет округа (района)'!C51+'бюджеты поселений'!C51</f>
        <v>0</v>
      </c>
      <c r="D51" s="137">
        <f>'бюджет округа (района)'!C51</f>
        <v>0</v>
      </c>
      <c r="E51" s="134">
        <f t="shared" si="336"/>
        <v>0</v>
      </c>
      <c r="F51" s="137">
        <f t="shared" si="336"/>
        <v>0</v>
      </c>
      <c r="G51" s="134">
        <f>'бюджет округа (района)'!E51+'бюджеты поселений'!E51</f>
        <v>0</v>
      </c>
      <c r="H51" s="137">
        <f>'бюджет округа (района)'!E51</f>
        <v>0</v>
      </c>
      <c r="I51" s="134">
        <f>'бюджет округа (района)'!F51+'бюджеты поселений'!F51</f>
        <v>0</v>
      </c>
      <c r="J51" s="137">
        <f>'бюджет округа (района)'!F51</f>
        <v>0</v>
      </c>
      <c r="K51" s="134">
        <f t="shared" si="301"/>
        <v>0</v>
      </c>
      <c r="L51" s="134">
        <f t="shared" si="301"/>
        <v>0</v>
      </c>
      <c r="M51" s="134">
        <f>'бюджет округа (района)'!H51+'бюджеты поселений'!H51</f>
        <v>0</v>
      </c>
      <c r="N51" s="137">
        <f>'бюджет округа (района)'!H51</f>
        <v>0</v>
      </c>
      <c r="O51" s="134"/>
      <c r="P51" s="134"/>
      <c r="Q51" s="134">
        <f>'бюджет округа (района)'!J51+'бюджеты поселений'!J51</f>
        <v>0</v>
      </c>
      <c r="R51" s="137">
        <f>'бюджет округа (района)'!J51</f>
        <v>0</v>
      </c>
      <c r="S51" s="134"/>
      <c r="T51" s="134"/>
      <c r="U51" s="134">
        <f>'бюджет округа (района)'!L51+'бюджеты поселений'!L51</f>
        <v>0</v>
      </c>
      <c r="V51" s="137">
        <f>'бюджет округа (района)'!L51</f>
        <v>0</v>
      </c>
      <c r="W51" s="134"/>
      <c r="X51" s="134"/>
      <c r="Y51" s="134">
        <f>'бюджет округа (района)'!N51+'бюджеты поселений'!N51</f>
        <v>0</v>
      </c>
      <c r="Z51" s="137">
        <f>'бюджет округа (района)'!N51</f>
        <v>0</v>
      </c>
      <c r="AA51" s="134"/>
      <c r="AB51" s="134"/>
      <c r="AC51" s="134">
        <f>'бюджет округа (района)'!P51+'бюджеты поселений'!P51</f>
        <v>0</v>
      </c>
      <c r="AD51" s="137">
        <f>'бюджет округа (района)'!P51</f>
        <v>0</v>
      </c>
      <c r="AE51" s="134"/>
      <c r="AF51" s="134"/>
      <c r="AG51" s="134">
        <f>'бюджет округа (района)'!R51+'бюджеты поселений'!R51</f>
        <v>0</v>
      </c>
      <c r="AH51" s="137">
        <f>'бюджет округа (района)'!R51</f>
        <v>0</v>
      </c>
      <c r="AI51" s="134"/>
      <c r="AJ51" s="134"/>
      <c r="AK51" s="134">
        <f>'бюджет округа (района)'!T51+'бюджеты поселений'!T51</f>
        <v>0</v>
      </c>
      <c r="AL51" s="137">
        <f>'бюджет округа (района)'!T51</f>
        <v>0</v>
      </c>
      <c r="AM51" s="134"/>
      <c r="AN51" s="134"/>
      <c r="AO51" s="134">
        <f>'бюджет округа (района)'!V51+'бюджеты поселений'!V51</f>
        <v>0</v>
      </c>
      <c r="AP51" s="137">
        <f>'бюджет округа (района)'!V51</f>
        <v>0</v>
      </c>
      <c r="AQ51" s="134"/>
      <c r="AR51" s="134"/>
      <c r="AS51" s="134">
        <f>'бюджет округа (района)'!X51+'бюджеты поселений'!X51</f>
        <v>0</v>
      </c>
      <c r="AT51" s="137">
        <f>'бюджет округа (района)'!X51</f>
        <v>0</v>
      </c>
      <c r="AU51" s="134"/>
      <c r="AV51" s="134"/>
      <c r="AW51" s="134">
        <f>'бюджет округа (района)'!Z51+'бюджеты поселений'!Z51</f>
        <v>0</v>
      </c>
      <c r="AX51" s="137">
        <f>'бюджет округа (района)'!Z51</f>
        <v>0</v>
      </c>
      <c r="AY51" s="134">
        <f>'бюджет округа (района)'!AA51+'бюджеты поселений'!AA51</f>
        <v>0</v>
      </c>
      <c r="AZ51" s="137">
        <f>'бюджет округа (района)'!AA51</f>
        <v>0</v>
      </c>
      <c r="BA51" s="135">
        <f t="shared" si="300"/>
        <v>1</v>
      </c>
      <c r="BB51" s="135">
        <f t="shared" si="300"/>
        <v>1</v>
      </c>
      <c r="BC51" s="134">
        <f>'бюджет округа (района)'!AC51+'бюджеты поселений'!AC51</f>
        <v>0</v>
      </c>
      <c r="BD51" s="137">
        <f>'бюджет округа (района)'!AC51</f>
        <v>0</v>
      </c>
      <c r="BE51" s="134">
        <f>'бюджет округа (района)'!AD51+'бюджеты поселений'!AD51</f>
        <v>0</v>
      </c>
      <c r="BF51" s="137">
        <f>'бюджет округа (района)'!AD51</f>
        <v>0</v>
      </c>
      <c r="BG51" s="134">
        <f t="shared" si="302"/>
        <v>0</v>
      </c>
      <c r="BH51" s="134">
        <f t="shared" si="302"/>
        <v>0</v>
      </c>
      <c r="BI51" s="135">
        <f t="shared" si="272"/>
        <v>1</v>
      </c>
      <c r="BJ51" s="135">
        <f t="shared" si="272"/>
        <v>1</v>
      </c>
      <c r="BK51" s="134">
        <f>'бюджет округа (района)'!AG51+'бюджеты поселений'!AG51</f>
        <v>0</v>
      </c>
      <c r="BL51" s="137">
        <f>'бюджет округа (района)'!AG51</f>
        <v>0</v>
      </c>
      <c r="BM51" s="134"/>
      <c r="BN51" s="134"/>
      <c r="BO51" s="135">
        <f t="shared" si="273"/>
        <v>1</v>
      </c>
      <c r="BP51" s="135">
        <f t="shared" si="273"/>
        <v>1</v>
      </c>
      <c r="BQ51" s="134">
        <f>'бюджет округа (района)'!AJ51+'бюджеты поселений'!AJ51</f>
        <v>0</v>
      </c>
      <c r="BR51" s="137">
        <f>'бюджет округа (района)'!AJ51</f>
        <v>0</v>
      </c>
      <c r="BS51" s="134"/>
      <c r="BT51" s="134"/>
      <c r="BU51" s="135">
        <f t="shared" si="274"/>
        <v>1</v>
      </c>
      <c r="BV51" s="135">
        <f t="shared" si="274"/>
        <v>1</v>
      </c>
      <c r="BW51" s="134">
        <f>'бюджет округа (района)'!AM51+'бюджеты поселений'!AM51</f>
        <v>0</v>
      </c>
      <c r="BX51" s="137">
        <f>'бюджет округа (района)'!AM51</f>
        <v>0</v>
      </c>
      <c r="BY51" s="134"/>
      <c r="BZ51" s="134"/>
      <c r="CA51" s="135">
        <f t="shared" si="275"/>
        <v>1</v>
      </c>
      <c r="CB51" s="135">
        <f t="shared" si="275"/>
        <v>1</v>
      </c>
      <c r="CC51" s="134">
        <f>'бюджет округа (района)'!AP51+'бюджеты поселений'!AP51</f>
        <v>0</v>
      </c>
      <c r="CD51" s="137">
        <f>'бюджет округа (района)'!AP51</f>
        <v>0</v>
      </c>
      <c r="CE51" s="134"/>
      <c r="CF51" s="134"/>
      <c r="CG51" s="135">
        <f t="shared" si="276"/>
        <v>1</v>
      </c>
      <c r="CH51" s="135">
        <f t="shared" si="276"/>
        <v>1</v>
      </c>
      <c r="CI51" s="134">
        <f>'бюджет округа (района)'!AS51+'бюджеты поселений'!AS51</f>
        <v>0</v>
      </c>
      <c r="CJ51" s="137">
        <f>'бюджет округа (района)'!AS51</f>
        <v>0</v>
      </c>
      <c r="CK51" s="134"/>
      <c r="CL51" s="134"/>
      <c r="CM51" s="135">
        <f t="shared" si="277"/>
        <v>1</v>
      </c>
      <c r="CN51" s="135">
        <f t="shared" si="277"/>
        <v>1</v>
      </c>
      <c r="CO51" s="134">
        <f>'бюджет округа (района)'!AV51+'бюджеты поселений'!AV51</f>
        <v>0</v>
      </c>
      <c r="CP51" s="137">
        <f>'бюджет округа (района)'!AV51</f>
        <v>0</v>
      </c>
      <c r="CQ51" s="134"/>
      <c r="CR51" s="134"/>
      <c r="CS51" s="135">
        <f t="shared" si="278"/>
        <v>1</v>
      </c>
      <c r="CT51" s="135">
        <f t="shared" si="278"/>
        <v>1</v>
      </c>
      <c r="CU51" s="134">
        <f>'бюджет округа (района)'!AY51+'бюджеты поселений'!AY51</f>
        <v>0</v>
      </c>
      <c r="CV51" s="137">
        <f>'бюджет округа (района)'!AY51</f>
        <v>0</v>
      </c>
      <c r="CW51" s="134"/>
      <c r="CX51" s="134"/>
      <c r="CY51" s="135">
        <f t="shared" si="279"/>
        <v>1</v>
      </c>
      <c r="CZ51" s="135">
        <f t="shared" si="279"/>
        <v>1</v>
      </c>
      <c r="DA51" s="134">
        <f>'бюджет округа (района)'!BB51+'бюджеты поселений'!BB51</f>
        <v>0</v>
      </c>
      <c r="DB51" s="137">
        <f>'бюджет округа (района)'!BB51</f>
        <v>0</v>
      </c>
      <c r="DC51" s="134"/>
      <c r="DD51" s="134"/>
      <c r="DE51" s="135">
        <f t="shared" si="280"/>
        <v>1</v>
      </c>
      <c r="DF51" s="135">
        <f t="shared" si="280"/>
        <v>1</v>
      </c>
      <c r="DG51" s="134">
        <f>'бюджет округа (района)'!BE51+'бюджеты поселений'!BE51</f>
        <v>0</v>
      </c>
      <c r="DH51" s="137">
        <f>'бюджет округа (района)'!BE51</f>
        <v>0</v>
      </c>
      <c r="DI51" s="134"/>
      <c r="DJ51" s="134"/>
      <c r="DK51" s="135">
        <f t="shared" si="281"/>
        <v>1</v>
      </c>
      <c r="DL51" s="135">
        <f t="shared" si="281"/>
        <v>1</v>
      </c>
      <c r="DM51" s="134">
        <f>'бюджет округа (района)'!BH51+'бюджеты поселений'!BH51</f>
        <v>0</v>
      </c>
      <c r="DN51" s="137">
        <f>'бюджет округа (района)'!BH51</f>
        <v>0</v>
      </c>
      <c r="DO51" s="134">
        <f>'бюджет округа (района)'!BI51+'бюджеты поселений'!BI51</f>
        <v>0</v>
      </c>
      <c r="DP51" s="137">
        <f>'бюджет округа (района)'!BI51</f>
        <v>0</v>
      </c>
      <c r="DQ51" s="134">
        <f>'бюджет округа (района)'!BJ51+'бюджеты поселений'!BJ51</f>
        <v>0</v>
      </c>
      <c r="DR51" s="137">
        <f>'бюджет округа (района)'!BJ51</f>
        <v>0</v>
      </c>
      <c r="DS51" s="135">
        <f>IF($AY$51=0,1,DQ51/$AY$51-1)</f>
        <v>1</v>
      </c>
      <c r="DT51" s="135">
        <f>IF($AZ$51=0,1,DR51/$AZ$51-1)</f>
        <v>1</v>
      </c>
      <c r="DU51" s="135">
        <f t="shared" si="58"/>
        <v>1</v>
      </c>
      <c r="DV51" s="135">
        <f t="shared" si="59"/>
        <v>1</v>
      </c>
      <c r="DW51" s="167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28" t="s">
        <v>112</v>
      </c>
      <c r="B52" s="229"/>
      <c r="C52" s="134">
        <f>'бюджет округа (района)'!C52+'бюджеты поселений'!C52</f>
        <v>0</v>
      </c>
      <c r="D52" s="137">
        <f>'бюджет округа (района)'!C52</f>
        <v>0</v>
      </c>
      <c r="E52" s="134">
        <f t="shared" si="336"/>
        <v>0</v>
      </c>
      <c r="F52" s="137">
        <f t="shared" si="336"/>
        <v>0</v>
      </c>
      <c r="G52" s="134">
        <f>'бюджет округа (района)'!E52+'бюджеты поселений'!E52</f>
        <v>0</v>
      </c>
      <c r="H52" s="137">
        <f>'бюджет округа (района)'!E52</f>
        <v>0</v>
      </c>
      <c r="I52" s="134">
        <f>'бюджет округа (района)'!F52+'бюджеты поселений'!F52</f>
        <v>0</v>
      </c>
      <c r="J52" s="137">
        <f>'бюджет округа (района)'!F52</f>
        <v>0</v>
      </c>
      <c r="K52" s="134">
        <f t="shared" si="301"/>
        <v>0</v>
      </c>
      <c r="L52" s="134">
        <f t="shared" si="301"/>
        <v>0</v>
      </c>
      <c r="M52" s="134">
        <f>'бюджет округа (района)'!H52+'бюджеты поселений'!H52</f>
        <v>0</v>
      </c>
      <c r="N52" s="137">
        <f>'бюджет округа (района)'!H52</f>
        <v>0</v>
      </c>
      <c r="O52" s="134"/>
      <c r="P52" s="134"/>
      <c r="Q52" s="134">
        <f>'бюджет округа (района)'!J52+'бюджеты поселений'!J52</f>
        <v>0</v>
      </c>
      <c r="R52" s="137">
        <f>'бюджет округа (района)'!J52</f>
        <v>0</v>
      </c>
      <c r="S52" s="134"/>
      <c r="T52" s="134"/>
      <c r="U52" s="134">
        <f>'бюджет округа (района)'!L52+'бюджеты поселений'!L52</f>
        <v>0</v>
      </c>
      <c r="V52" s="137">
        <f>'бюджет округа (района)'!L52</f>
        <v>0</v>
      </c>
      <c r="W52" s="134"/>
      <c r="X52" s="134"/>
      <c r="Y52" s="134">
        <f>'бюджет округа (района)'!N52+'бюджеты поселений'!N52</f>
        <v>0</v>
      </c>
      <c r="Z52" s="137">
        <f>'бюджет округа (района)'!N52</f>
        <v>0</v>
      </c>
      <c r="AA52" s="134"/>
      <c r="AB52" s="134"/>
      <c r="AC52" s="134">
        <f>'бюджет округа (района)'!P52+'бюджеты поселений'!P52</f>
        <v>0</v>
      </c>
      <c r="AD52" s="137">
        <f>'бюджет округа (района)'!P52</f>
        <v>0</v>
      </c>
      <c r="AE52" s="134"/>
      <c r="AF52" s="134"/>
      <c r="AG52" s="134">
        <f>'бюджет округа (района)'!R52+'бюджеты поселений'!R52</f>
        <v>0</v>
      </c>
      <c r="AH52" s="137">
        <f>'бюджет округа (района)'!R52</f>
        <v>0</v>
      </c>
      <c r="AI52" s="134"/>
      <c r="AJ52" s="134"/>
      <c r="AK52" s="134">
        <f>'бюджет округа (района)'!T52+'бюджеты поселений'!T52</f>
        <v>0</v>
      </c>
      <c r="AL52" s="137">
        <f>'бюджет округа (района)'!T52</f>
        <v>0</v>
      </c>
      <c r="AM52" s="134"/>
      <c r="AN52" s="134"/>
      <c r="AO52" s="134">
        <f>'бюджет округа (района)'!V52+'бюджеты поселений'!V52</f>
        <v>0</v>
      </c>
      <c r="AP52" s="137">
        <f>'бюджет округа (района)'!V52</f>
        <v>0</v>
      </c>
      <c r="AQ52" s="134"/>
      <c r="AR52" s="134"/>
      <c r="AS52" s="134">
        <f>'бюджет округа (района)'!X52+'бюджеты поселений'!X52</f>
        <v>0</v>
      </c>
      <c r="AT52" s="137">
        <f>'бюджет округа (района)'!X52</f>
        <v>0</v>
      </c>
      <c r="AU52" s="134"/>
      <c r="AV52" s="134"/>
      <c r="AW52" s="134">
        <f>'бюджет округа (района)'!Z52+'бюджеты поселений'!Z52</f>
        <v>0</v>
      </c>
      <c r="AX52" s="137">
        <f>'бюджет округа (района)'!Z52</f>
        <v>0</v>
      </c>
      <c r="AY52" s="134">
        <f>'бюджет округа (района)'!AA52+'бюджеты поселений'!AA52</f>
        <v>0</v>
      </c>
      <c r="AZ52" s="137">
        <f>'бюджет округа (района)'!AA52</f>
        <v>0</v>
      </c>
      <c r="BA52" s="135">
        <f t="shared" si="300"/>
        <v>1</v>
      </c>
      <c r="BB52" s="135">
        <f t="shared" si="300"/>
        <v>1</v>
      </c>
      <c r="BC52" s="134">
        <f>'бюджет округа (района)'!AC52+'бюджеты поселений'!AC52</f>
        <v>0</v>
      </c>
      <c r="BD52" s="137">
        <f>'бюджет округа (района)'!AC52</f>
        <v>0</v>
      </c>
      <c r="BE52" s="134">
        <f>'бюджет округа (района)'!AD52+'бюджеты поселений'!AD52</f>
        <v>0</v>
      </c>
      <c r="BF52" s="137">
        <f>'бюджет округа (района)'!AD52</f>
        <v>0</v>
      </c>
      <c r="BG52" s="134">
        <f t="shared" si="302"/>
        <v>0</v>
      </c>
      <c r="BH52" s="134">
        <f t="shared" si="302"/>
        <v>0</v>
      </c>
      <c r="BI52" s="135">
        <f t="shared" si="272"/>
        <v>1</v>
      </c>
      <c r="BJ52" s="135">
        <f t="shared" si="272"/>
        <v>1</v>
      </c>
      <c r="BK52" s="134">
        <f>'бюджет округа (района)'!AG52+'бюджеты поселений'!AG52</f>
        <v>0</v>
      </c>
      <c r="BL52" s="137">
        <f>'бюджет округа (района)'!AG52</f>
        <v>0</v>
      </c>
      <c r="BM52" s="134"/>
      <c r="BN52" s="134"/>
      <c r="BO52" s="135">
        <f t="shared" si="273"/>
        <v>1</v>
      </c>
      <c r="BP52" s="135">
        <f t="shared" si="273"/>
        <v>1</v>
      </c>
      <c r="BQ52" s="134">
        <f>'бюджет округа (района)'!AJ52+'бюджеты поселений'!AJ52</f>
        <v>0</v>
      </c>
      <c r="BR52" s="137">
        <f>'бюджет округа (района)'!AJ52</f>
        <v>0</v>
      </c>
      <c r="BS52" s="134"/>
      <c r="BT52" s="134"/>
      <c r="BU52" s="135">
        <f t="shared" si="274"/>
        <v>1</v>
      </c>
      <c r="BV52" s="135">
        <f t="shared" si="274"/>
        <v>1</v>
      </c>
      <c r="BW52" s="134">
        <f>'бюджет округа (района)'!AM52+'бюджеты поселений'!AM52</f>
        <v>0</v>
      </c>
      <c r="BX52" s="137">
        <f>'бюджет округа (района)'!AM52</f>
        <v>0</v>
      </c>
      <c r="BY52" s="134"/>
      <c r="BZ52" s="134"/>
      <c r="CA52" s="135">
        <f t="shared" si="275"/>
        <v>1</v>
      </c>
      <c r="CB52" s="135">
        <f t="shared" si="275"/>
        <v>1</v>
      </c>
      <c r="CC52" s="134">
        <f>'бюджет округа (района)'!AP52+'бюджеты поселений'!AP52</f>
        <v>0</v>
      </c>
      <c r="CD52" s="137">
        <f>'бюджет округа (района)'!AP52</f>
        <v>0</v>
      </c>
      <c r="CE52" s="134"/>
      <c r="CF52" s="134"/>
      <c r="CG52" s="135">
        <f t="shared" si="276"/>
        <v>1</v>
      </c>
      <c r="CH52" s="135">
        <f t="shared" si="276"/>
        <v>1</v>
      </c>
      <c r="CI52" s="134">
        <f>'бюджет округа (района)'!AS52+'бюджеты поселений'!AS52</f>
        <v>0</v>
      </c>
      <c r="CJ52" s="137">
        <f>'бюджет округа (района)'!AS52</f>
        <v>0</v>
      </c>
      <c r="CK52" s="134"/>
      <c r="CL52" s="134"/>
      <c r="CM52" s="135">
        <f t="shared" si="277"/>
        <v>1</v>
      </c>
      <c r="CN52" s="135">
        <f t="shared" si="277"/>
        <v>1</v>
      </c>
      <c r="CO52" s="134">
        <f>'бюджет округа (района)'!AV52+'бюджеты поселений'!AV52</f>
        <v>0</v>
      </c>
      <c r="CP52" s="137">
        <f>'бюджет округа (района)'!AV52</f>
        <v>0</v>
      </c>
      <c r="CQ52" s="134"/>
      <c r="CR52" s="134"/>
      <c r="CS52" s="135">
        <f t="shared" si="278"/>
        <v>1</v>
      </c>
      <c r="CT52" s="135">
        <f t="shared" si="278"/>
        <v>1</v>
      </c>
      <c r="CU52" s="134">
        <f>'бюджет округа (района)'!AY52+'бюджеты поселений'!AY52</f>
        <v>0</v>
      </c>
      <c r="CV52" s="137">
        <f>'бюджет округа (района)'!AY52</f>
        <v>0</v>
      </c>
      <c r="CW52" s="134"/>
      <c r="CX52" s="134"/>
      <c r="CY52" s="135">
        <f t="shared" si="279"/>
        <v>1</v>
      </c>
      <c r="CZ52" s="135">
        <f t="shared" si="279"/>
        <v>1</v>
      </c>
      <c r="DA52" s="134">
        <f>'бюджет округа (района)'!BB52+'бюджеты поселений'!BB52</f>
        <v>0</v>
      </c>
      <c r="DB52" s="137">
        <f>'бюджет округа (района)'!BB52</f>
        <v>0</v>
      </c>
      <c r="DC52" s="134"/>
      <c r="DD52" s="134"/>
      <c r="DE52" s="135">
        <f t="shared" si="280"/>
        <v>1</v>
      </c>
      <c r="DF52" s="135">
        <f t="shared" si="280"/>
        <v>1</v>
      </c>
      <c r="DG52" s="134">
        <f>'бюджет округа (района)'!BE52+'бюджеты поселений'!BE52</f>
        <v>0</v>
      </c>
      <c r="DH52" s="137">
        <f>'бюджет округа (района)'!BE52</f>
        <v>0</v>
      </c>
      <c r="DI52" s="134"/>
      <c r="DJ52" s="134"/>
      <c r="DK52" s="135">
        <f t="shared" si="281"/>
        <v>1</v>
      </c>
      <c r="DL52" s="135">
        <f t="shared" si="281"/>
        <v>1</v>
      </c>
      <c r="DM52" s="134">
        <f>'бюджет округа (района)'!BH52+'бюджеты поселений'!BH52</f>
        <v>0</v>
      </c>
      <c r="DN52" s="137">
        <f>'бюджет округа (района)'!BH52</f>
        <v>0</v>
      </c>
      <c r="DO52" s="134">
        <f>'бюджет округа (района)'!BI52+'бюджеты поселений'!BI52</f>
        <v>0</v>
      </c>
      <c r="DP52" s="137">
        <f>'бюджет округа (района)'!BI52</f>
        <v>0</v>
      </c>
      <c r="DQ52" s="134">
        <f>'бюджет округа (района)'!BJ52+'бюджеты поселений'!BJ52</f>
        <v>0</v>
      </c>
      <c r="DR52" s="137">
        <f>'бюджет округа (района)'!BJ52</f>
        <v>0</v>
      </c>
      <c r="DS52" s="135">
        <f>IF($AY$52=0,1,DQ52/$AY$52-1)</f>
        <v>1</v>
      </c>
      <c r="DT52" s="135">
        <f>IF($AZ$52=0,1,DR52/$AZ$52-1)</f>
        <v>1</v>
      </c>
      <c r="DU52" s="135">
        <f t="shared" si="58"/>
        <v>1</v>
      </c>
      <c r="DV52" s="135">
        <f t="shared" si="59"/>
        <v>1</v>
      </c>
      <c r="DW52" s="167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28" t="s">
        <v>104</v>
      </c>
      <c r="B53" s="229"/>
      <c r="C53" s="134">
        <f>'бюджет округа (района)'!C53+'бюджеты поселений'!C53</f>
        <v>0</v>
      </c>
      <c r="D53" s="137">
        <f>'бюджет округа (района)'!C53</f>
        <v>0</v>
      </c>
      <c r="E53" s="134">
        <f t="shared" si="336"/>
        <v>0</v>
      </c>
      <c r="F53" s="137">
        <f t="shared" si="336"/>
        <v>0</v>
      </c>
      <c r="G53" s="134">
        <f>'бюджет округа (района)'!E53+'бюджеты поселений'!E53</f>
        <v>0</v>
      </c>
      <c r="H53" s="137">
        <f>'бюджет округа (района)'!E53</f>
        <v>0</v>
      </c>
      <c r="I53" s="134">
        <f>'бюджет округа (района)'!F53+'бюджеты поселений'!F53</f>
        <v>0</v>
      </c>
      <c r="J53" s="137">
        <f>'бюджет округа (района)'!F53</f>
        <v>0</v>
      </c>
      <c r="K53" s="134">
        <f t="shared" si="301"/>
        <v>0</v>
      </c>
      <c r="L53" s="134">
        <f t="shared" si="301"/>
        <v>0</v>
      </c>
      <c r="M53" s="134">
        <f>'бюджет округа (района)'!H53+'бюджеты поселений'!H53</f>
        <v>0</v>
      </c>
      <c r="N53" s="137">
        <f>'бюджет округа (района)'!H53</f>
        <v>0</v>
      </c>
      <c r="O53" s="134">
        <f>K53+M53</f>
        <v>0</v>
      </c>
      <c r="P53" s="134">
        <f>L53+N53</f>
        <v>0</v>
      </c>
      <c r="Q53" s="134">
        <f>'бюджет округа (района)'!J53+'бюджеты поселений'!J53</f>
        <v>0</v>
      </c>
      <c r="R53" s="137">
        <f>'бюджет округа (района)'!J53</f>
        <v>0</v>
      </c>
      <c r="S53" s="134">
        <f>O53+Q53</f>
        <v>0</v>
      </c>
      <c r="T53" s="134">
        <f>P53+R53</f>
        <v>0</v>
      </c>
      <c r="U53" s="134">
        <f>'бюджет округа (района)'!L53+'бюджеты поселений'!L53</f>
        <v>0</v>
      </c>
      <c r="V53" s="137">
        <f>'бюджет округа (района)'!L53</f>
        <v>0</v>
      </c>
      <c r="W53" s="134">
        <f>S53+U53</f>
        <v>0</v>
      </c>
      <c r="X53" s="134">
        <f>T53+V53</f>
        <v>0</v>
      </c>
      <c r="Y53" s="134">
        <f>'бюджет округа (района)'!N53+'бюджеты поселений'!N53</f>
        <v>0</v>
      </c>
      <c r="Z53" s="137">
        <f>'бюджет округа (района)'!N53</f>
        <v>0</v>
      </c>
      <c r="AA53" s="134">
        <f>W53+Y53</f>
        <v>0</v>
      </c>
      <c r="AB53" s="134">
        <f>X53+Z53</f>
        <v>0</v>
      </c>
      <c r="AC53" s="134">
        <f>'бюджет округа (района)'!P53+'бюджеты поселений'!P53</f>
        <v>0</v>
      </c>
      <c r="AD53" s="137">
        <f>'бюджет округа (района)'!P53</f>
        <v>0</v>
      </c>
      <c r="AE53" s="134">
        <f>AA53+AC53</f>
        <v>0</v>
      </c>
      <c r="AF53" s="134">
        <f>AB53+AD53</f>
        <v>0</v>
      </c>
      <c r="AG53" s="134">
        <f>'бюджет округа (района)'!R53+'бюджеты поселений'!R53</f>
        <v>0</v>
      </c>
      <c r="AH53" s="137">
        <f>'бюджет округа (района)'!R53</f>
        <v>0</v>
      </c>
      <c r="AI53" s="134">
        <f>AE53+AG53</f>
        <v>0</v>
      </c>
      <c r="AJ53" s="134">
        <f>AF53+AH53</f>
        <v>0</v>
      </c>
      <c r="AK53" s="134">
        <f>'бюджет округа (района)'!T53+'бюджеты поселений'!T53</f>
        <v>0</v>
      </c>
      <c r="AL53" s="137">
        <f>'бюджет округа (района)'!T53</f>
        <v>0</v>
      </c>
      <c r="AM53" s="134">
        <f>AI53+AK53</f>
        <v>0</v>
      </c>
      <c r="AN53" s="134">
        <f>AJ53+AL53</f>
        <v>0</v>
      </c>
      <c r="AO53" s="134">
        <f>'бюджет округа (района)'!V53+'бюджеты поселений'!V53</f>
        <v>0</v>
      </c>
      <c r="AP53" s="137">
        <f>'бюджет округа (района)'!V53</f>
        <v>0</v>
      </c>
      <c r="AQ53" s="134">
        <f>AM53+AO53</f>
        <v>0</v>
      </c>
      <c r="AR53" s="134">
        <f>AN53+AP53</f>
        <v>0</v>
      </c>
      <c r="AS53" s="134">
        <f>'бюджет округа (района)'!X53+'бюджеты поселений'!X53</f>
        <v>0</v>
      </c>
      <c r="AT53" s="137">
        <f>'бюджет округа (района)'!X53</f>
        <v>0</v>
      </c>
      <c r="AU53" s="134">
        <f>AQ53+AS53</f>
        <v>0</v>
      </c>
      <c r="AV53" s="134">
        <f>AR53+AT53</f>
        <v>0</v>
      </c>
      <c r="AW53" s="134">
        <f>'бюджет округа (района)'!Z53+'бюджеты поселений'!Z53</f>
        <v>0</v>
      </c>
      <c r="AX53" s="137">
        <f>'бюджет округа (района)'!Z53</f>
        <v>0</v>
      </c>
      <c r="AY53" s="134">
        <f>'бюджет округа (района)'!AA53+'бюджеты поселений'!AA53</f>
        <v>0</v>
      </c>
      <c r="AZ53" s="137">
        <f>'бюджет округа (района)'!AA53</f>
        <v>0</v>
      </c>
      <c r="BA53" s="135">
        <f t="shared" si="300"/>
        <v>1</v>
      </c>
      <c r="BB53" s="135">
        <f t="shared" si="300"/>
        <v>1</v>
      </c>
      <c r="BC53" s="134">
        <f>'бюджет округа (района)'!AC53+'бюджеты поселений'!AC53</f>
        <v>0</v>
      </c>
      <c r="BD53" s="137">
        <f>'бюджет округа (района)'!AC53</f>
        <v>0</v>
      </c>
      <c r="BE53" s="134">
        <f>'бюджет округа (района)'!AD53+'бюджеты поселений'!AD53</f>
        <v>0</v>
      </c>
      <c r="BF53" s="137">
        <f>'бюджет округа (района)'!AD53</f>
        <v>0</v>
      </c>
      <c r="BG53" s="134">
        <f t="shared" si="302"/>
        <v>0</v>
      </c>
      <c r="BH53" s="134">
        <f t="shared" si="302"/>
        <v>0</v>
      </c>
      <c r="BI53" s="135">
        <f t="shared" si="272"/>
        <v>1</v>
      </c>
      <c r="BJ53" s="135">
        <f t="shared" si="272"/>
        <v>1</v>
      </c>
      <c r="BK53" s="134">
        <f>'бюджет округа (района)'!AG53+'бюджеты поселений'!AG53</f>
        <v>0</v>
      </c>
      <c r="BL53" s="137">
        <f>'бюджет округа (района)'!AG53</f>
        <v>0</v>
      </c>
      <c r="BM53" s="134">
        <f>BG53+BK53</f>
        <v>0</v>
      </c>
      <c r="BN53" s="134">
        <f>BH53+BL53</f>
        <v>0</v>
      </c>
      <c r="BO53" s="135">
        <f t="shared" si="273"/>
        <v>1</v>
      </c>
      <c r="BP53" s="135">
        <f t="shared" si="273"/>
        <v>1</v>
      </c>
      <c r="BQ53" s="134">
        <f>'бюджет округа (района)'!AJ53+'бюджеты поселений'!AJ53</f>
        <v>0</v>
      </c>
      <c r="BR53" s="137">
        <f>'бюджет округа (района)'!AJ53</f>
        <v>0</v>
      </c>
      <c r="BS53" s="134">
        <f>BM53+BQ53</f>
        <v>0</v>
      </c>
      <c r="BT53" s="134">
        <f>BN53+BR53</f>
        <v>0</v>
      </c>
      <c r="BU53" s="135">
        <f t="shared" si="274"/>
        <v>1</v>
      </c>
      <c r="BV53" s="135">
        <f t="shared" si="274"/>
        <v>1</v>
      </c>
      <c r="BW53" s="134">
        <f>'бюджет округа (района)'!AM53+'бюджеты поселений'!AM53</f>
        <v>0</v>
      </c>
      <c r="BX53" s="137">
        <f>'бюджет округа (района)'!AM53</f>
        <v>0</v>
      </c>
      <c r="BY53" s="134">
        <f>BS53+BW53</f>
        <v>0</v>
      </c>
      <c r="BZ53" s="134">
        <f>BT53+BX53</f>
        <v>0</v>
      </c>
      <c r="CA53" s="135">
        <f t="shared" si="275"/>
        <v>1</v>
      </c>
      <c r="CB53" s="135">
        <f t="shared" si="275"/>
        <v>1</v>
      </c>
      <c r="CC53" s="134">
        <f>'бюджет округа (района)'!AP53+'бюджеты поселений'!AP53</f>
        <v>0</v>
      </c>
      <c r="CD53" s="137">
        <f>'бюджет округа (района)'!AP53</f>
        <v>0</v>
      </c>
      <c r="CE53" s="134">
        <f>BY53+CC53</f>
        <v>0</v>
      </c>
      <c r="CF53" s="134">
        <f>BZ53+CD53</f>
        <v>0</v>
      </c>
      <c r="CG53" s="135">
        <f t="shared" si="276"/>
        <v>1</v>
      </c>
      <c r="CH53" s="135">
        <f t="shared" si="276"/>
        <v>1</v>
      </c>
      <c r="CI53" s="134">
        <f>'бюджет округа (района)'!AS53+'бюджеты поселений'!AS53</f>
        <v>0</v>
      </c>
      <c r="CJ53" s="137">
        <f>'бюджет округа (района)'!AS53</f>
        <v>0</v>
      </c>
      <c r="CK53" s="134">
        <f>CE53+CI53</f>
        <v>0</v>
      </c>
      <c r="CL53" s="134">
        <f>CF53+CJ53</f>
        <v>0</v>
      </c>
      <c r="CM53" s="135">
        <f t="shared" si="277"/>
        <v>1</v>
      </c>
      <c r="CN53" s="135">
        <f t="shared" si="277"/>
        <v>1</v>
      </c>
      <c r="CO53" s="134">
        <f>'бюджет округа (района)'!AV53+'бюджеты поселений'!AV53</f>
        <v>0</v>
      </c>
      <c r="CP53" s="137">
        <f>'бюджет округа (района)'!AV53</f>
        <v>0</v>
      </c>
      <c r="CQ53" s="134">
        <f>CK53+CO53</f>
        <v>0</v>
      </c>
      <c r="CR53" s="134">
        <f>CL53+CP53</f>
        <v>0</v>
      </c>
      <c r="CS53" s="135">
        <f t="shared" si="278"/>
        <v>1</v>
      </c>
      <c r="CT53" s="135">
        <f t="shared" si="278"/>
        <v>1</v>
      </c>
      <c r="CU53" s="134">
        <f>'бюджет округа (района)'!AY53+'бюджеты поселений'!AY53</f>
        <v>0</v>
      </c>
      <c r="CV53" s="137">
        <f>'бюджет округа (района)'!AY53</f>
        <v>0</v>
      </c>
      <c r="CW53" s="134">
        <f>CQ53+CU53</f>
        <v>0</v>
      </c>
      <c r="CX53" s="134">
        <f>CR53+CV53</f>
        <v>0</v>
      </c>
      <c r="CY53" s="135">
        <f t="shared" si="279"/>
        <v>1</v>
      </c>
      <c r="CZ53" s="135">
        <f t="shared" si="279"/>
        <v>1</v>
      </c>
      <c r="DA53" s="134">
        <f>'бюджет округа (района)'!BB53+'бюджеты поселений'!BB53</f>
        <v>0</v>
      </c>
      <c r="DB53" s="137">
        <f>'бюджет округа (района)'!BB53</f>
        <v>0</v>
      </c>
      <c r="DC53" s="134">
        <f>CW53+DA53</f>
        <v>0</v>
      </c>
      <c r="DD53" s="134">
        <f>CX53+DB53</f>
        <v>0</v>
      </c>
      <c r="DE53" s="135">
        <f t="shared" si="280"/>
        <v>1</v>
      </c>
      <c r="DF53" s="135">
        <f t="shared" si="280"/>
        <v>1</v>
      </c>
      <c r="DG53" s="134">
        <f>'бюджет округа (района)'!BE53+'бюджеты поселений'!BE53</f>
        <v>0</v>
      </c>
      <c r="DH53" s="137">
        <f>'бюджет округа (района)'!BE53</f>
        <v>0</v>
      </c>
      <c r="DI53" s="134">
        <f>DC53+DG53</f>
        <v>0</v>
      </c>
      <c r="DJ53" s="134">
        <f>DD53+DH53</f>
        <v>0</v>
      </c>
      <c r="DK53" s="135">
        <f t="shared" si="281"/>
        <v>1</v>
      </c>
      <c r="DL53" s="135">
        <f t="shared" si="281"/>
        <v>1</v>
      </c>
      <c r="DM53" s="134">
        <f>'бюджет округа (района)'!BH53+'бюджеты поселений'!BH53</f>
        <v>0</v>
      </c>
      <c r="DN53" s="137">
        <f>'бюджет округа (района)'!BH53</f>
        <v>0</v>
      </c>
      <c r="DO53" s="134">
        <f>'бюджет округа (района)'!BI53+'бюджеты поселений'!BI53</f>
        <v>0</v>
      </c>
      <c r="DP53" s="137">
        <f>'бюджет округа (района)'!BI53</f>
        <v>0</v>
      </c>
      <c r="DQ53" s="134">
        <f>'бюджет округа (района)'!BJ53+'бюджеты поселений'!BJ53</f>
        <v>0</v>
      </c>
      <c r="DR53" s="137">
        <f>'бюджет округа (района)'!BJ53</f>
        <v>0</v>
      </c>
      <c r="DS53" s="135">
        <f>IF($AY$53=0,1,DQ53/$AY$53-1)</f>
        <v>1</v>
      </c>
      <c r="DT53" s="135">
        <f>IF($AZ$53=0,1,DR53/$AZ$53-1)</f>
        <v>1</v>
      </c>
      <c r="DU53" s="135">
        <f t="shared" si="58"/>
        <v>1</v>
      </c>
      <c r="DV53" s="135">
        <f t="shared" si="59"/>
        <v>1</v>
      </c>
      <c r="DW53" s="167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228" t="s">
        <v>107</v>
      </c>
      <c r="B54" s="229"/>
      <c r="C54" s="134">
        <f>'бюджет округа (района)'!C54+'бюджеты поселений'!C54</f>
        <v>0</v>
      </c>
      <c r="D54" s="137">
        <f>'бюджет округа (района)'!C54</f>
        <v>0</v>
      </c>
      <c r="E54" s="134">
        <f t="shared" si="336"/>
        <v>0</v>
      </c>
      <c r="F54" s="137">
        <f t="shared" si="336"/>
        <v>0</v>
      </c>
      <c r="G54" s="134">
        <f>'бюджет округа (района)'!E54+'бюджеты поселений'!E54</f>
        <v>0</v>
      </c>
      <c r="H54" s="137">
        <f>'бюджет округа (района)'!E54</f>
        <v>0</v>
      </c>
      <c r="I54" s="134">
        <f>'бюджет округа (района)'!F54+'бюджеты поселений'!F54</f>
        <v>0</v>
      </c>
      <c r="J54" s="137">
        <f>'бюджет округа (района)'!F54</f>
        <v>0</v>
      </c>
      <c r="K54" s="134">
        <f t="shared" si="301"/>
        <v>0</v>
      </c>
      <c r="L54" s="134">
        <f t="shared" si="301"/>
        <v>0</v>
      </c>
      <c r="M54" s="134">
        <f>'бюджет округа (района)'!H54+'бюджеты поселений'!H54</f>
        <v>0</v>
      </c>
      <c r="N54" s="137">
        <f>'бюджет округа (района)'!H54</f>
        <v>0</v>
      </c>
      <c r="O54" s="134"/>
      <c r="P54" s="134"/>
      <c r="Q54" s="134">
        <f>'бюджет округа (района)'!J54+'бюджеты поселений'!J54</f>
        <v>0</v>
      </c>
      <c r="R54" s="137">
        <f>'бюджет округа (района)'!J54</f>
        <v>0</v>
      </c>
      <c r="S54" s="134"/>
      <c r="T54" s="134"/>
      <c r="U54" s="134">
        <f>'бюджет округа (района)'!L54+'бюджеты поселений'!L54</f>
        <v>0</v>
      </c>
      <c r="V54" s="137">
        <f>'бюджет округа (района)'!L54</f>
        <v>0</v>
      </c>
      <c r="W54" s="134"/>
      <c r="X54" s="134"/>
      <c r="Y54" s="134">
        <f>'бюджет округа (района)'!N54+'бюджеты поселений'!N54</f>
        <v>0</v>
      </c>
      <c r="Z54" s="137">
        <f>'бюджет округа (района)'!N54</f>
        <v>0</v>
      </c>
      <c r="AA54" s="134"/>
      <c r="AB54" s="134"/>
      <c r="AC54" s="134">
        <f>'бюджет округа (района)'!P54+'бюджеты поселений'!P54</f>
        <v>0</v>
      </c>
      <c r="AD54" s="137">
        <f>'бюджет округа (района)'!P54</f>
        <v>0</v>
      </c>
      <c r="AE54" s="134"/>
      <c r="AF54" s="134"/>
      <c r="AG54" s="134">
        <f>'бюджет округа (района)'!R54+'бюджеты поселений'!R54</f>
        <v>0</v>
      </c>
      <c r="AH54" s="137">
        <f>'бюджет округа (района)'!R54</f>
        <v>0</v>
      </c>
      <c r="AI54" s="134"/>
      <c r="AJ54" s="134"/>
      <c r="AK54" s="134">
        <f>'бюджет округа (района)'!T54+'бюджеты поселений'!T54</f>
        <v>0</v>
      </c>
      <c r="AL54" s="137">
        <f>'бюджет округа (района)'!T54</f>
        <v>0</v>
      </c>
      <c r="AM54" s="134"/>
      <c r="AN54" s="134"/>
      <c r="AO54" s="134">
        <f>'бюджет округа (района)'!V54+'бюджеты поселений'!V54</f>
        <v>0</v>
      </c>
      <c r="AP54" s="137">
        <f>'бюджет округа (района)'!V54</f>
        <v>0</v>
      </c>
      <c r="AQ54" s="134"/>
      <c r="AR54" s="134"/>
      <c r="AS54" s="134">
        <f>'бюджет округа (района)'!X54+'бюджеты поселений'!X54</f>
        <v>0</v>
      </c>
      <c r="AT54" s="137">
        <f>'бюджет округа (района)'!X54</f>
        <v>0</v>
      </c>
      <c r="AU54" s="134"/>
      <c r="AV54" s="134"/>
      <c r="AW54" s="134">
        <f>'бюджет округа (района)'!Z54+'бюджеты поселений'!Z54</f>
        <v>0</v>
      </c>
      <c r="AX54" s="137">
        <f>'бюджет округа (района)'!Z54</f>
        <v>0</v>
      </c>
      <c r="AY54" s="134">
        <f>'бюджет округа (района)'!AA54+'бюджеты поселений'!AA54</f>
        <v>0</v>
      </c>
      <c r="AZ54" s="137">
        <f>'бюджет округа (района)'!AA54</f>
        <v>0</v>
      </c>
      <c r="BA54" s="135">
        <f t="shared" si="300"/>
        <v>1</v>
      </c>
      <c r="BB54" s="135">
        <f t="shared" si="300"/>
        <v>1</v>
      </c>
      <c r="BC54" s="134">
        <f>'бюджет округа (района)'!AC54+'бюджеты поселений'!AC54</f>
        <v>0</v>
      </c>
      <c r="BD54" s="137">
        <f>'бюджет округа (района)'!AC54</f>
        <v>0</v>
      </c>
      <c r="BE54" s="134">
        <f>'бюджет округа (района)'!AD54+'бюджеты поселений'!AD54</f>
        <v>0</v>
      </c>
      <c r="BF54" s="137">
        <f>'бюджет округа (района)'!AD54</f>
        <v>0</v>
      </c>
      <c r="BG54" s="134">
        <f t="shared" si="302"/>
        <v>0</v>
      </c>
      <c r="BH54" s="134">
        <f t="shared" si="302"/>
        <v>0</v>
      </c>
      <c r="BI54" s="135">
        <f t="shared" si="272"/>
        <v>1</v>
      </c>
      <c r="BJ54" s="135">
        <f t="shared" si="272"/>
        <v>1</v>
      </c>
      <c r="BK54" s="134">
        <f>'бюджет округа (района)'!AG54+'бюджеты поселений'!AG54</f>
        <v>0</v>
      </c>
      <c r="BL54" s="137">
        <f>'бюджет округа (района)'!AG54</f>
        <v>0</v>
      </c>
      <c r="BM54" s="134"/>
      <c r="BN54" s="134"/>
      <c r="BO54" s="135">
        <f t="shared" si="273"/>
        <v>1</v>
      </c>
      <c r="BP54" s="135">
        <f t="shared" si="273"/>
        <v>1</v>
      </c>
      <c r="BQ54" s="134">
        <f>'бюджет округа (района)'!AJ54+'бюджеты поселений'!AJ54</f>
        <v>0</v>
      </c>
      <c r="BR54" s="137">
        <f>'бюджет округа (района)'!AJ54</f>
        <v>0</v>
      </c>
      <c r="BS54" s="134"/>
      <c r="BT54" s="134"/>
      <c r="BU54" s="135">
        <f t="shared" si="274"/>
        <v>1</v>
      </c>
      <c r="BV54" s="135">
        <f t="shared" si="274"/>
        <v>1</v>
      </c>
      <c r="BW54" s="134">
        <f>'бюджет округа (района)'!AM54+'бюджеты поселений'!AM54</f>
        <v>0</v>
      </c>
      <c r="BX54" s="137">
        <f>'бюджет округа (района)'!AM54</f>
        <v>0</v>
      </c>
      <c r="BY54" s="134"/>
      <c r="BZ54" s="134"/>
      <c r="CA54" s="135">
        <f t="shared" si="275"/>
        <v>1</v>
      </c>
      <c r="CB54" s="135">
        <f t="shared" si="275"/>
        <v>1</v>
      </c>
      <c r="CC54" s="134">
        <f>'бюджет округа (района)'!AP54+'бюджеты поселений'!AP54</f>
        <v>0</v>
      </c>
      <c r="CD54" s="137">
        <f>'бюджет округа (района)'!AP54</f>
        <v>0</v>
      </c>
      <c r="CE54" s="134"/>
      <c r="CF54" s="134"/>
      <c r="CG54" s="135">
        <f t="shared" si="276"/>
        <v>1</v>
      </c>
      <c r="CH54" s="135">
        <f t="shared" si="276"/>
        <v>1</v>
      </c>
      <c r="CI54" s="134">
        <f>'бюджет округа (района)'!AS54+'бюджеты поселений'!AS54</f>
        <v>0</v>
      </c>
      <c r="CJ54" s="137">
        <f>'бюджет округа (района)'!AS54</f>
        <v>0</v>
      </c>
      <c r="CK54" s="134"/>
      <c r="CL54" s="134"/>
      <c r="CM54" s="135">
        <f t="shared" si="277"/>
        <v>1</v>
      </c>
      <c r="CN54" s="135">
        <f t="shared" si="277"/>
        <v>1</v>
      </c>
      <c r="CO54" s="134">
        <f>'бюджет округа (района)'!AV54+'бюджеты поселений'!AV54</f>
        <v>0</v>
      </c>
      <c r="CP54" s="137">
        <f>'бюджет округа (района)'!AV54</f>
        <v>0</v>
      </c>
      <c r="CQ54" s="134"/>
      <c r="CR54" s="134"/>
      <c r="CS54" s="135">
        <f t="shared" si="278"/>
        <v>1</v>
      </c>
      <c r="CT54" s="135">
        <f t="shared" si="278"/>
        <v>1</v>
      </c>
      <c r="CU54" s="134">
        <f>'бюджет округа (района)'!AY54+'бюджеты поселений'!AY54</f>
        <v>0</v>
      </c>
      <c r="CV54" s="137">
        <f>'бюджет округа (района)'!AY54</f>
        <v>0</v>
      </c>
      <c r="CW54" s="134"/>
      <c r="CX54" s="134"/>
      <c r="CY54" s="135">
        <f t="shared" si="279"/>
        <v>1</v>
      </c>
      <c r="CZ54" s="135">
        <f t="shared" si="279"/>
        <v>1</v>
      </c>
      <c r="DA54" s="134">
        <f>'бюджет округа (района)'!BB54+'бюджеты поселений'!BB54</f>
        <v>0</v>
      </c>
      <c r="DB54" s="137">
        <f>'бюджет округа (района)'!BB54</f>
        <v>0</v>
      </c>
      <c r="DC54" s="134"/>
      <c r="DD54" s="134"/>
      <c r="DE54" s="135">
        <f t="shared" si="280"/>
        <v>1</v>
      </c>
      <c r="DF54" s="135">
        <f t="shared" si="280"/>
        <v>1</v>
      </c>
      <c r="DG54" s="134">
        <f>'бюджет округа (района)'!BE54+'бюджеты поселений'!BE54</f>
        <v>0</v>
      </c>
      <c r="DH54" s="137">
        <f>'бюджет округа (района)'!BE54</f>
        <v>0</v>
      </c>
      <c r="DI54" s="134"/>
      <c r="DJ54" s="134"/>
      <c r="DK54" s="135">
        <f t="shared" si="281"/>
        <v>1</v>
      </c>
      <c r="DL54" s="135">
        <f t="shared" si="281"/>
        <v>1</v>
      </c>
      <c r="DM54" s="134">
        <f>'бюджет округа (района)'!BH54+'бюджеты поселений'!BH54</f>
        <v>0</v>
      </c>
      <c r="DN54" s="137">
        <f>'бюджет округа (района)'!BH54</f>
        <v>0</v>
      </c>
      <c r="DO54" s="134">
        <f>'бюджет округа (района)'!BI54+'бюджеты поселений'!BI54</f>
        <v>0</v>
      </c>
      <c r="DP54" s="137">
        <f>'бюджет округа (района)'!BI54</f>
        <v>0</v>
      </c>
      <c r="DQ54" s="134">
        <f>'бюджет округа (района)'!BJ54+'бюджеты поселений'!BJ54</f>
        <v>0</v>
      </c>
      <c r="DR54" s="137">
        <f>'бюджет округа (района)'!BJ54</f>
        <v>0</v>
      </c>
      <c r="DS54" s="135">
        <f>IF($AY$54=0,1,DQ54/$AY$54-1)</f>
        <v>1</v>
      </c>
      <c r="DT54" s="135">
        <f>IF($AZ$54=0,1,DR54/$AZ$54-1)</f>
        <v>1</v>
      </c>
      <c r="DU54" s="135">
        <f t="shared" si="58"/>
        <v>1</v>
      </c>
      <c r="DV54" s="135">
        <f t="shared" si="59"/>
        <v>1</v>
      </c>
      <c r="DW54" s="167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4" customFormat="1" ht="18" customHeight="1">
      <c r="A55" s="228" t="s">
        <v>131</v>
      </c>
      <c r="B55" s="229"/>
      <c r="C55" s="134">
        <f>'бюджет округа (района)'!C55+'бюджеты поселений'!C55</f>
        <v>0</v>
      </c>
      <c r="D55" s="137">
        <f>'бюджет округа (района)'!C55</f>
        <v>0</v>
      </c>
      <c r="E55" s="134">
        <f t="shared" si="336"/>
        <v>0</v>
      </c>
      <c r="F55" s="137">
        <f t="shared" si="336"/>
        <v>0</v>
      </c>
      <c r="G55" s="134">
        <f>'бюджет округа (района)'!E55+'бюджеты поселений'!E55</f>
        <v>0</v>
      </c>
      <c r="H55" s="137">
        <f>'бюджет округа (района)'!E55</f>
        <v>0</v>
      </c>
      <c r="I55" s="134">
        <f>'бюджет округа (района)'!F55+'бюджеты поселений'!F55</f>
        <v>0</v>
      </c>
      <c r="J55" s="137">
        <f>'бюджет округа (района)'!F55</f>
        <v>0</v>
      </c>
      <c r="K55" s="134">
        <f t="shared" si="301"/>
        <v>0</v>
      </c>
      <c r="L55" s="134">
        <f t="shared" si="301"/>
        <v>0</v>
      </c>
      <c r="M55" s="134">
        <f>'бюджет округа (района)'!H55+'бюджеты поселений'!H55</f>
        <v>0</v>
      </c>
      <c r="N55" s="137">
        <f>'бюджет округа (района)'!H55</f>
        <v>0</v>
      </c>
      <c r="O55" s="134">
        <f t="shared" ref="O55:P56" si="337">K55+M55</f>
        <v>0</v>
      </c>
      <c r="P55" s="134">
        <f t="shared" si="337"/>
        <v>0</v>
      </c>
      <c r="Q55" s="134">
        <f>'бюджет округа (района)'!J55+'бюджеты поселений'!J55</f>
        <v>0</v>
      </c>
      <c r="R55" s="137">
        <f>'бюджет округа (района)'!J55</f>
        <v>0</v>
      </c>
      <c r="S55" s="134">
        <f t="shared" ref="S55:T56" si="338">O55+Q55</f>
        <v>0</v>
      </c>
      <c r="T55" s="134">
        <f t="shared" si="338"/>
        <v>0</v>
      </c>
      <c r="U55" s="134">
        <f>'бюджет округа (района)'!L55+'бюджеты поселений'!L55</f>
        <v>0</v>
      </c>
      <c r="V55" s="137">
        <f>'бюджет округа (района)'!L55</f>
        <v>0</v>
      </c>
      <c r="W55" s="134">
        <f t="shared" ref="W55:X56" si="339">S55+U55</f>
        <v>0</v>
      </c>
      <c r="X55" s="134">
        <f t="shared" si="339"/>
        <v>0</v>
      </c>
      <c r="Y55" s="134">
        <f>'бюджет округа (района)'!N55+'бюджеты поселений'!N55</f>
        <v>0</v>
      </c>
      <c r="Z55" s="137">
        <f>'бюджет округа (района)'!N55</f>
        <v>0</v>
      </c>
      <c r="AA55" s="134">
        <f t="shared" ref="AA55:AB56" si="340">W55+Y55</f>
        <v>0</v>
      </c>
      <c r="AB55" s="134">
        <f t="shared" si="340"/>
        <v>0</v>
      </c>
      <c r="AC55" s="134">
        <f>'бюджет округа (района)'!P55+'бюджеты поселений'!P55</f>
        <v>0</v>
      </c>
      <c r="AD55" s="137">
        <f>'бюджет округа (района)'!P55</f>
        <v>0</v>
      </c>
      <c r="AE55" s="134">
        <f t="shared" ref="AE55:AF56" si="341">AA55+AC55</f>
        <v>0</v>
      </c>
      <c r="AF55" s="134">
        <f t="shared" si="341"/>
        <v>0</v>
      </c>
      <c r="AG55" s="134">
        <f>'бюджет округа (района)'!R55+'бюджеты поселений'!R55</f>
        <v>0</v>
      </c>
      <c r="AH55" s="137">
        <f>'бюджет округа (района)'!R55</f>
        <v>0</v>
      </c>
      <c r="AI55" s="134">
        <f t="shared" ref="AI55:AJ56" si="342">AE55+AG55</f>
        <v>0</v>
      </c>
      <c r="AJ55" s="134">
        <f t="shared" si="342"/>
        <v>0</v>
      </c>
      <c r="AK55" s="134">
        <f>'бюджет округа (района)'!T55+'бюджеты поселений'!T55</f>
        <v>0</v>
      </c>
      <c r="AL55" s="137">
        <f>'бюджет округа (района)'!T55</f>
        <v>0</v>
      </c>
      <c r="AM55" s="134">
        <f t="shared" ref="AM55:AN56" si="343">AI55+AK55</f>
        <v>0</v>
      </c>
      <c r="AN55" s="134">
        <f t="shared" si="343"/>
        <v>0</v>
      </c>
      <c r="AO55" s="134">
        <f>'бюджет округа (района)'!V55+'бюджеты поселений'!V55</f>
        <v>0</v>
      </c>
      <c r="AP55" s="137">
        <f>'бюджет округа (района)'!V55</f>
        <v>0</v>
      </c>
      <c r="AQ55" s="134">
        <f t="shared" ref="AQ55:AR56" si="344">AM55+AO55</f>
        <v>0</v>
      </c>
      <c r="AR55" s="134">
        <f t="shared" si="344"/>
        <v>0</v>
      </c>
      <c r="AS55" s="134">
        <f>'бюджет округа (района)'!X55+'бюджеты поселений'!X55</f>
        <v>0</v>
      </c>
      <c r="AT55" s="137">
        <f>'бюджет округа (района)'!X55</f>
        <v>0</v>
      </c>
      <c r="AU55" s="134">
        <f t="shared" ref="AU55:AV56" si="345">AQ55+AS55</f>
        <v>0</v>
      </c>
      <c r="AV55" s="134">
        <f t="shared" si="345"/>
        <v>0</v>
      </c>
      <c r="AW55" s="134">
        <f>'бюджет округа (района)'!Z55+'бюджеты поселений'!Z55</f>
        <v>0</v>
      </c>
      <c r="AX55" s="137">
        <f>'бюджет округа (района)'!Z55</f>
        <v>0</v>
      </c>
      <c r="AY55" s="134">
        <f>'бюджет округа (района)'!AA55+'бюджеты поселений'!AA55</f>
        <v>0</v>
      </c>
      <c r="AZ55" s="137">
        <f>'бюджет округа (района)'!AA55</f>
        <v>0</v>
      </c>
      <c r="BA55" s="135">
        <f t="shared" si="300"/>
        <v>1</v>
      </c>
      <c r="BB55" s="135">
        <f t="shared" si="300"/>
        <v>1</v>
      </c>
      <c r="BC55" s="134">
        <f>'бюджет округа (района)'!AC55+'бюджеты поселений'!AC55</f>
        <v>0</v>
      </c>
      <c r="BD55" s="137">
        <f>'бюджет округа (района)'!AC55</f>
        <v>0</v>
      </c>
      <c r="BE55" s="134">
        <f>'бюджет округа (района)'!AD55+'бюджеты поселений'!AD55</f>
        <v>0</v>
      </c>
      <c r="BF55" s="137">
        <f>'бюджет округа (района)'!AD55</f>
        <v>0</v>
      </c>
      <c r="BG55" s="134">
        <f t="shared" si="302"/>
        <v>0</v>
      </c>
      <c r="BH55" s="134">
        <f t="shared" si="302"/>
        <v>0</v>
      </c>
      <c r="BI55" s="135">
        <f t="shared" si="272"/>
        <v>1</v>
      </c>
      <c r="BJ55" s="135">
        <f t="shared" si="272"/>
        <v>1</v>
      </c>
      <c r="BK55" s="134">
        <f>'бюджет округа (района)'!AG55+'бюджеты поселений'!AG55</f>
        <v>0</v>
      </c>
      <c r="BL55" s="137">
        <f>'бюджет округа (района)'!AG55</f>
        <v>0</v>
      </c>
      <c r="BM55" s="134">
        <f t="shared" ref="BM55:BN56" si="346">BG55+BK55</f>
        <v>0</v>
      </c>
      <c r="BN55" s="134">
        <f t="shared" si="346"/>
        <v>0</v>
      </c>
      <c r="BO55" s="135">
        <f t="shared" si="273"/>
        <v>1</v>
      </c>
      <c r="BP55" s="135">
        <f t="shared" si="273"/>
        <v>1</v>
      </c>
      <c r="BQ55" s="134">
        <f>'бюджет округа (района)'!AJ55+'бюджеты поселений'!AJ55</f>
        <v>0</v>
      </c>
      <c r="BR55" s="137">
        <f>'бюджет округа (района)'!AJ55</f>
        <v>0</v>
      </c>
      <c r="BS55" s="134">
        <f t="shared" ref="BS55:BT56" si="347">BM55+BQ55</f>
        <v>0</v>
      </c>
      <c r="BT55" s="134">
        <f t="shared" si="347"/>
        <v>0</v>
      </c>
      <c r="BU55" s="135">
        <f t="shared" si="274"/>
        <v>1</v>
      </c>
      <c r="BV55" s="135">
        <f t="shared" si="274"/>
        <v>1</v>
      </c>
      <c r="BW55" s="134">
        <f>'бюджет округа (района)'!AM55+'бюджеты поселений'!AM55</f>
        <v>0</v>
      </c>
      <c r="BX55" s="137">
        <f>'бюджет округа (района)'!AM55</f>
        <v>0</v>
      </c>
      <c r="BY55" s="134">
        <f t="shared" ref="BY55:BZ56" si="348">BS55+BW55</f>
        <v>0</v>
      </c>
      <c r="BZ55" s="134">
        <f t="shared" si="348"/>
        <v>0</v>
      </c>
      <c r="CA55" s="135">
        <f t="shared" si="275"/>
        <v>1</v>
      </c>
      <c r="CB55" s="135">
        <f t="shared" si="275"/>
        <v>1</v>
      </c>
      <c r="CC55" s="134">
        <f>'бюджет округа (района)'!AP55+'бюджеты поселений'!AP55</f>
        <v>0</v>
      </c>
      <c r="CD55" s="137">
        <f>'бюджет округа (района)'!AP55</f>
        <v>0</v>
      </c>
      <c r="CE55" s="134">
        <f t="shared" ref="CE55:CF56" si="349">BY55+CC55</f>
        <v>0</v>
      </c>
      <c r="CF55" s="134">
        <f t="shared" si="349"/>
        <v>0</v>
      </c>
      <c r="CG55" s="135">
        <f t="shared" si="276"/>
        <v>1</v>
      </c>
      <c r="CH55" s="135">
        <f t="shared" si="276"/>
        <v>1</v>
      </c>
      <c r="CI55" s="134">
        <f>'бюджет округа (района)'!AS55+'бюджеты поселений'!AS55</f>
        <v>0</v>
      </c>
      <c r="CJ55" s="137">
        <f>'бюджет округа (района)'!AS55</f>
        <v>0</v>
      </c>
      <c r="CK55" s="134">
        <f t="shared" ref="CK55:CL56" si="350">CE55+CI55</f>
        <v>0</v>
      </c>
      <c r="CL55" s="134">
        <f t="shared" si="350"/>
        <v>0</v>
      </c>
      <c r="CM55" s="135">
        <f t="shared" si="277"/>
        <v>1</v>
      </c>
      <c r="CN55" s="135">
        <f t="shared" si="277"/>
        <v>1</v>
      </c>
      <c r="CO55" s="134">
        <f>'бюджет округа (района)'!AV55+'бюджеты поселений'!AV55</f>
        <v>0</v>
      </c>
      <c r="CP55" s="137">
        <f>'бюджет округа (района)'!AV55</f>
        <v>0</v>
      </c>
      <c r="CQ55" s="134">
        <f t="shared" ref="CQ55:CR56" si="351">CK55+CO55</f>
        <v>0</v>
      </c>
      <c r="CR55" s="134">
        <f t="shared" si="351"/>
        <v>0</v>
      </c>
      <c r="CS55" s="135">
        <f t="shared" si="278"/>
        <v>1</v>
      </c>
      <c r="CT55" s="135">
        <f t="shared" si="278"/>
        <v>1</v>
      </c>
      <c r="CU55" s="134">
        <f>'бюджет округа (района)'!AY55+'бюджеты поселений'!AY55</f>
        <v>0</v>
      </c>
      <c r="CV55" s="137">
        <f>'бюджет округа (района)'!AY55</f>
        <v>0</v>
      </c>
      <c r="CW55" s="134">
        <f t="shared" ref="CW55:CX56" si="352">CQ55+CU55</f>
        <v>0</v>
      </c>
      <c r="CX55" s="134">
        <f t="shared" si="352"/>
        <v>0</v>
      </c>
      <c r="CY55" s="135">
        <f t="shared" si="279"/>
        <v>1</v>
      </c>
      <c r="CZ55" s="135">
        <f t="shared" si="279"/>
        <v>1</v>
      </c>
      <c r="DA55" s="134">
        <f>'бюджет округа (района)'!BB55+'бюджеты поселений'!BB55</f>
        <v>0</v>
      </c>
      <c r="DB55" s="137">
        <f>'бюджет округа (района)'!BB55</f>
        <v>0</v>
      </c>
      <c r="DC55" s="134">
        <f t="shared" ref="DC55:DD56" si="353">CW55+DA55</f>
        <v>0</v>
      </c>
      <c r="DD55" s="134">
        <f t="shared" si="353"/>
        <v>0</v>
      </c>
      <c r="DE55" s="135">
        <f t="shared" si="280"/>
        <v>1</v>
      </c>
      <c r="DF55" s="135">
        <f t="shared" si="280"/>
        <v>1</v>
      </c>
      <c r="DG55" s="134">
        <f>'бюджет округа (района)'!BE55+'бюджеты поселений'!BE55</f>
        <v>0</v>
      </c>
      <c r="DH55" s="137">
        <f>'бюджет округа (района)'!BE55</f>
        <v>0</v>
      </c>
      <c r="DI55" s="134">
        <f t="shared" ref="DI55:DJ56" si="354">DC55+DG55</f>
        <v>0</v>
      </c>
      <c r="DJ55" s="134">
        <f t="shared" si="354"/>
        <v>0</v>
      </c>
      <c r="DK55" s="135">
        <f t="shared" si="281"/>
        <v>1</v>
      </c>
      <c r="DL55" s="135">
        <f t="shared" si="281"/>
        <v>1</v>
      </c>
      <c r="DM55" s="134">
        <f>'бюджет округа (района)'!BH55+'бюджеты поселений'!BH55</f>
        <v>0</v>
      </c>
      <c r="DN55" s="137">
        <f>'бюджет округа (района)'!BH55</f>
        <v>0</v>
      </c>
      <c r="DO55" s="134">
        <f>'бюджет округа (района)'!BI55+'бюджеты поселений'!BI55</f>
        <v>0</v>
      </c>
      <c r="DP55" s="137">
        <f>'бюджет округа (района)'!BI55</f>
        <v>0</v>
      </c>
      <c r="DQ55" s="134">
        <f>'бюджет округа (района)'!BJ55+'бюджеты поселений'!BJ55</f>
        <v>0</v>
      </c>
      <c r="DR55" s="137">
        <f>'бюджет округа (района)'!BJ55</f>
        <v>0</v>
      </c>
      <c r="DS55" s="135">
        <f>IF($AY$55=0,1,DQ55/$AY$55-1)</f>
        <v>1</v>
      </c>
      <c r="DT55" s="135">
        <f>IF($AZ$55=0,1,DR55/$AZ$55-1)</f>
        <v>1</v>
      </c>
      <c r="DU55" s="135">
        <f t="shared" si="58"/>
        <v>1</v>
      </c>
      <c r="DV55" s="135">
        <f t="shared" si="59"/>
        <v>1</v>
      </c>
      <c r="DW55" s="167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28" t="s">
        <v>109</v>
      </c>
      <c r="B56" s="229"/>
      <c r="C56" s="134">
        <f>'бюджет округа (района)'!C56+'бюджеты поселений'!C56</f>
        <v>0</v>
      </c>
      <c r="D56" s="137">
        <f>'бюджет округа (района)'!C56</f>
        <v>0</v>
      </c>
      <c r="E56" s="134">
        <f t="shared" si="336"/>
        <v>0</v>
      </c>
      <c r="F56" s="137">
        <f t="shared" si="336"/>
        <v>0</v>
      </c>
      <c r="G56" s="134">
        <f>'бюджет округа (района)'!E56+'бюджеты поселений'!E56</f>
        <v>0</v>
      </c>
      <c r="H56" s="137">
        <f>'бюджет округа (района)'!E56</f>
        <v>0</v>
      </c>
      <c r="I56" s="134">
        <f>'бюджет округа (района)'!F56+'бюджеты поселений'!F56</f>
        <v>0</v>
      </c>
      <c r="J56" s="137">
        <f>'бюджет округа (района)'!F56</f>
        <v>0</v>
      </c>
      <c r="K56" s="134">
        <f t="shared" si="301"/>
        <v>0</v>
      </c>
      <c r="L56" s="134">
        <f t="shared" si="301"/>
        <v>0</v>
      </c>
      <c r="M56" s="134">
        <f>'бюджет округа (района)'!H56+'бюджеты поселений'!H56</f>
        <v>0</v>
      </c>
      <c r="N56" s="137">
        <f>'бюджет округа (района)'!H56</f>
        <v>0</v>
      </c>
      <c r="O56" s="134">
        <f t="shared" si="337"/>
        <v>0</v>
      </c>
      <c r="P56" s="134">
        <f t="shared" si="337"/>
        <v>0</v>
      </c>
      <c r="Q56" s="134">
        <f>'бюджет округа (района)'!J56+'бюджеты поселений'!J56</f>
        <v>0</v>
      </c>
      <c r="R56" s="137">
        <f>'бюджет округа (района)'!J56</f>
        <v>0</v>
      </c>
      <c r="S56" s="134">
        <f t="shared" si="338"/>
        <v>0</v>
      </c>
      <c r="T56" s="134">
        <f t="shared" si="338"/>
        <v>0</v>
      </c>
      <c r="U56" s="134">
        <f>'бюджет округа (района)'!L56+'бюджеты поселений'!L56</f>
        <v>0</v>
      </c>
      <c r="V56" s="137">
        <f>'бюджет округа (района)'!L56</f>
        <v>0</v>
      </c>
      <c r="W56" s="134">
        <f t="shared" si="339"/>
        <v>0</v>
      </c>
      <c r="X56" s="134">
        <f t="shared" si="339"/>
        <v>0</v>
      </c>
      <c r="Y56" s="134">
        <f>'бюджет округа (района)'!N56+'бюджеты поселений'!N56</f>
        <v>0</v>
      </c>
      <c r="Z56" s="137">
        <f>'бюджет округа (района)'!N56</f>
        <v>0</v>
      </c>
      <c r="AA56" s="134">
        <f t="shared" si="340"/>
        <v>0</v>
      </c>
      <c r="AB56" s="134">
        <f t="shared" si="340"/>
        <v>0</v>
      </c>
      <c r="AC56" s="134">
        <f>'бюджет округа (района)'!P56+'бюджеты поселений'!P56</f>
        <v>0</v>
      </c>
      <c r="AD56" s="137">
        <f>'бюджет округа (района)'!P56</f>
        <v>0</v>
      </c>
      <c r="AE56" s="134">
        <f t="shared" si="341"/>
        <v>0</v>
      </c>
      <c r="AF56" s="134">
        <f t="shared" si="341"/>
        <v>0</v>
      </c>
      <c r="AG56" s="134">
        <f>'бюджет округа (района)'!R56+'бюджеты поселений'!R56</f>
        <v>0</v>
      </c>
      <c r="AH56" s="137">
        <f>'бюджет округа (района)'!R56</f>
        <v>0</v>
      </c>
      <c r="AI56" s="134">
        <f t="shared" si="342"/>
        <v>0</v>
      </c>
      <c r="AJ56" s="134">
        <f t="shared" si="342"/>
        <v>0</v>
      </c>
      <c r="AK56" s="134">
        <f>'бюджет округа (района)'!T56+'бюджеты поселений'!T56</f>
        <v>0</v>
      </c>
      <c r="AL56" s="137">
        <f>'бюджет округа (района)'!T56</f>
        <v>0</v>
      </c>
      <c r="AM56" s="134">
        <f t="shared" si="343"/>
        <v>0</v>
      </c>
      <c r="AN56" s="134">
        <f t="shared" si="343"/>
        <v>0</v>
      </c>
      <c r="AO56" s="134">
        <f>'бюджет округа (района)'!V56+'бюджеты поселений'!V56</f>
        <v>0</v>
      </c>
      <c r="AP56" s="137">
        <f>'бюджет округа (района)'!V56</f>
        <v>0</v>
      </c>
      <c r="AQ56" s="134">
        <f t="shared" si="344"/>
        <v>0</v>
      </c>
      <c r="AR56" s="134">
        <f t="shared" si="344"/>
        <v>0</v>
      </c>
      <c r="AS56" s="134">
        <f>'бюджет округа (района)'!X56+'бюджеты поселений'!X56</f>
        <v>0</v>
      </c>
      <c r="AT56" s="137">
        <f>'бюджет округа (района)'!X56</f>
        <v>0</v>
      </c>
      <c r="AU56" s="134">
        <f t="shared" si="345"/>
        <v>0</v>
      </c>
      <c r="AV56" s="134">
        <f t="shared" si="345"/>
        <v>0</v>
      </c>
      <c r="AW56" s="134">
        <f>'бюджет округа (района)'!Z56+'бюджеты поселений'!Z56</f>
        <v>0</v>
      </c>
      <c r="AX56" s="137">
        <f>'бюджет округа (района)'!Z56</f>
        <v>0</v>
      </c>
      <c r="AY56" s="134">
        <f>'бюджет округа (района)'!AA56+'бюджеты поселений'!AA56</f>
        <v>0</v>
      </c>
      <c r="AZ56" s="137">
        <f>'бюджет округа (района)'!AA56</f>
        <v>0</v>
      </c>
      <c r="BA56" s="135">
        <f t="shared" si="300"/>
        <v>1</v>
      </c>
      <c r="BB56" s="135">
        <f t="shared" si="300"/>
        <v>1</v>
      </c>
      <c r="BC56" s="134">
        <f>'бюджет округа (района)'!AC56+'бюджеты поселений'!AC56</f>
        <v>0</v>
      </c>
      <c r="BD56" s="137">
        <f>'бюджет округа (района)'!AC56</f>
        <v>0</v>
      </c>
      <c r="BE56" s="134">
        <f>'бюджет округа (района)'!AD56+'бюджеты поселений'!AD56</f>
        <v>0</v>
      </c>
      <c r="BF56" s="137">
        <f>'бюджет округа (района)'!AD56</f>
        <v>0</v>
      </c>
      <c r="BG56" s="134">
        <f t="shared" si="302"/>
        <v>0</v>
      </c>
      <c r="BH56" s="134">
        <f t="shared" si="302"/>
        <v>0</v>
      </c>
      <c r="BI56" s="135">
        <f t="shared" si="272"/>
        <v>1</v>
      </c>
      <c r="BJ56" s="135">
        <f t="shared" si="272"/>
        <v>1</v>
      </c>
      <c r="BK56" s="134">
        <f>'бюджет округа (района)'!AG56+'бюджеты поселений'!AG56</f>
        <v>0</v>
      </c>
      <c r="BL56" s="137">
        <f>'бюджет округа (района)'!AG56</f>
        <v>0</v>
      </c>
      <c r="BM56" s="134">
        <f t="shared" si="346"/>
        <v>0</v>
      </c>
      <c r="BN56" s="134">
        <f t="shared" si="346"/>
        <v>0</v>
      </c>
      <c r="BO56" s="135">
        <f t="shared" si="273"/>
        <v>1</v>
      </c>
      <c r="BP56" s="135">
        <f t="shared" si="273"/>
        <v>1</v>
      </c>
      <c r="BQ56" s="134">
        <f>'бюджет округа (района)'!AJ56+'бюджеты поселений'!AJ56</f>
        <v>0</v>
      </c>
      <c r="BR56" s="137">
        <f>'бюджет округа (района)'!AJ56</f>
        <v>0</v>
      </c>
      <c r="BS56" s="134">
        <f t="shared" si="347"/>
        <v>0</v>
      </c>
      <c r="BT56" s="134">
        <f t="shared" si="347"/>
        <v>0</v>
      </c>
      <c r="BU56" s="135">
        <f t="shared" si="274"/>
        <v>1</v>
      </c>
      <c r="BV56" s="135">
        <f t="shared" si="274"/>
        <v>1</v>
      </c>
      <c r="BW56" s="134">
        <f>'бюджет округа (района)'!AM56+'бюджеты поселений'!AM56</f>
        <v>0</v>
      </c>
      <c r="BX56" s="137">
        <f>'бюджет округа (района)'!AM56</f>
        <v>0</v>
      </c>
      <c r="BY56" s="134">
        <f t="shared" si="348"/>
        <v>0</v>
      </c>
      <c r="BZ56" s="134">
        <f t="shared" si="348"/>
        <v>0</v>
      </c>
      <c r="CA56" s="135">
        <f t="shared" si="275"/>
        <v>1</v>
      </c>
      <c r="CB56" s="135">
        <f t="shared" si="275"/>
        <v>1</v>
      </c>
      <c r="CC56" s="134">
        <f>'бюджет округа (района)'!AP56+'бюджеты поселений'!AP56</f>
        <v>0</v>
      </c>
      <c r="CD56" s="137">
        <f>'бюджет округа (района)'!AP56</f>
        <v>0</v>
      </c>
      <c r="CE56" s="134">
        <f t="shared" si="349"/>
        <v>0</v>
      </c>
      <c r="CF56" s="134">
        <f t="shared" si="349"/>
        <v>0</v>
      </c>
      <c r="CG56" s="135">
        <f t="shared" si="276"/>
        <v>1</v>
      </c>
      <c r="CH56" s="135">
        <f t="shared" si="276"/>
        <v>1</v>
      </c>
      <c r="CI56" s="134">
        <f>'бюджет округа (района)'!AS56+'бюджеты поселений'!AS56</f>
        <v>0</v>
      </c>
      <c r="CJ56" s="137">
        <f>'бюджет округа (района)'!AS56</f>
        <v>0</v>
      </c>
      <c r="CK56" s="134">
        <f t="shared" si="350"/>
        <v>0</v>
      </c>
      <c r="CL56" s="134">
        <f t="shared" si="350"/>
        <v>0</v>
      </c>
      <c r="CM56" s="135">
        <f t="shared" si="277"/>
        <v>1</v>
      </c>
      <c r="CN56" s="135">
        <f t="shared" si="277"/>
        <v>1</v>
      </c>
      <c r="CO56" s="134">
        <f>'бюджет округа (района)'!AV56+'бюджеты поселений'!AV56</f>
        <v>0</v>
      </c>
      <c r="CP56" s="137">
        <f>'бюджет округа (района)'!AV56</f>
        <v>0</v>
      </c>
      <c r="CQ56" s="134">
        <f t="shared" si="351"/>
        <v>0</v>
      </c>
      <c r="CR56" s="134">
        <f t="shared" si="351"/>
        <v>0</v>
      </c>
      <c r="CS56" s="135">
        <f t="shared" si="278"/>
        <v>1</v>
      </c>
      <c r="CT56" s="135">
        <f t="shared" si="278"/>
        <v>1</v>
      </c>
      <c r="CU56" s="134">
        <f>'бюджет округа (района)'!AY56+'бюджеты поселений'!AY56</f>
        <v>0</v>
      </c>
      <c r="CV56" s="137">
        <f>'бюджет округа (района)'!AY56</f>
        <v>0</v>
      </c>
      <c r="CW56" s="134">
        <f t="shared" si="352"/>
        <v>0</v>
      </c>
      <c r="CX56" s="134">
        <f t="shared" si="352"/>
        <v>0</v>
      </c>
      <c r="CY56" s="135">
        <f t="shared" si="279"/>
        <v>1</v>
      </c>
      <c r="CZ56" s="135">
        <f t="shared" si="279"/>
        <v>1</v>
      </c>
      <c r="DA56" s="134">
        <f>'бюджет округа (района)'!BB56+'бюджеты поселений'!BB56</f>
        <v>0</v>
      </c>
      <c r="DB56" s="137">
        <f>'бюджет округа (района)'!BB56</f>
        <v>0</v>
      </c>
      <c r="DC56" s="134">
        <f t="shared" si="353"/>
        <v>0</v>
      </c>
      <c r="DD56" s="134">
        <f t="shared" si="353"/>
        <v>0</v>
      </c>
      <c r="DE56" s="135">
        <f t="shared" si="280"/>
        <v>1</v>
      </c>
      <c r="DF56" s="135">
        <f t="shared" si="280"/>
        <v>1</v>
      </c>
      <c r="DG56" s="134">
        <f>'бюджет округа (района)'!BE56+'бюджеты поселений'!BE56</f>
        <v>0</v>
      </c>
      <c r="DH56" s="137">
        <f>'бюджет округа (района)'!BE56</f>
        <v>0</v>
      </c>
      <c r="DI56" s="134">
        <f t="shared" si="354"/>
        <v>0</v>
      </c>
      <c r="DJ56" s="134">
        <f t="shared" si="354"/>
        <v>0</v>
      </c>
      <c r="DK56" s="135">
        <f t="shared" si="281"/>
        <v>1</v>
      </c>
      <c r="DL56" s="135">
        <f t="shared" si="281"/>
        <v>1</v>
      </c>
      <c r="DM56" s="134">
        <f>'бюджет округа (района)'!BH56+'бюджеты поселений'!BH56</f>
        <v>0</v>
      </c>
      <c r="DN56" s="137">
        <f>'бюджет округа (района)'!BH56</f>
        <v>0</v>
      </c>
      <c r="DO56" s="134">
        <f>'бюджет округа (района)'!BI56+'бюджеты поселений'!BI56</f>
        <v>0</v>
      </c>
      <c r="DP56" s="137">
        <f>'бюджет округа (района)'!BI56</f>
        <v>0</v>
      </c>
      <c r="DQ56" s="134">
        <f>'бюджет округа (района)'!BJ56+'бюджеты поселений'!BJ56</f>
        <v>0</v>
      </c>
      <c r="DR56" s="137">
        <f>'бюджет округа (района)'!BJ56</f>
        <v>0</v>
      </c>
      <c r="DS56" s="135">
        <f>IF($AY$56=0,1,DQ56/$AY$56-1)</f>
        <v>1</v>
      </c>
      <c r="DT56" s="135">
        <f>IF($AZ$56=0,1,DR56/$AZ$56-1)</f>
        <v>1</v>
      </c>
      <c r="DU56" s="135">
        <f t="shared" si="58"/>
        <v>1</v>
      </c>
      <c r="DV56" s="135">
        <f t="shared" si="59"/>
        <v>1</v>
      </c>
      <c r="DW56" s="167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28" t="s">
        <v>119</v>
      </c>
      <c r="B57" s="229"/>
      <c r="C57" s="134">
        <f>'бюджет округа (района)'!C57+'бюджеты поселений'!C57</f>
        <v>0</v>
      </c>
      <c r="D57" s="137">
        <f>'бюджет округа (района)'!C57</f>
        <v>0</v>
      </c>
      <c r="E57" s="134">
        <f t="shared" si="336"/>
        <v>0</v>
      </c>
      <c r="F57" s="137">
        <f t="shared" si="336"/>
        <v>0</v>
      </c>
      <c r="G57" s="134">
        <f>'бюджет округа (района)'!E57+'бюджеты поселений'!E57</f>
        <v>0</v>
      </c>
      <c r="H57" s="137">
        <f>'бюджет округа (района)'!E57</f>
        <v>0</v>
      </c>
      <c r="I57" s="134">
        <f>'бюджет округа (района)'!F57+'бюджеты поселений'!F57</f>
        <v>0</v>
      </c>
      <c r="J57" s="137">
        <f>'бюджет округа (района)'!F57</f>
        <v>0</v>
      </c>
      <c r="K57" s="134">
        <f t="shared" si="301"/>
        <v>0</v>
      </c>
      <c r="L57" s="134">
        <f t="shared" si="301"/>
        <v>0</v>
      </c>
      <c r="M57" s="134">
        <f>'бюджет округа (района)'!H57+'бюджеты поселений'!H57</f>
        <v>0</v>
      </c>
      <c r="N57" s="137">
        <f>'бюджет округа (района)'!H57</f>
        <v>0</v>
      </c>
      <c r="O57" s="134"/>
      <c r="P57" s="134"/>
      <c r="Q57" s="134">
        <f>'бюджет округа (района)'!J57+'бюджеты поселений'!J57</f>
        <v>0</v>
      </c>
      <c r="R57" s="137">
        <f>'бюджет округа (района)'!J57</f>
        <v>0</v>
      </c>
      <c r="S57" s="134"/>
      <c r="T57" s="134"/>
      <c r="U57" s="134">
        <f>'бюджет округа (района)'!L57+'бюджеты поселений'!L57</f>
        <v>0</v>
      </c>
      <c r="V57" s="137">
        <f>'бюджет округа (района)'!L57</f>
        <v>0</v>
      </c>
      <c r="W57" s="134"/>
      <c r="X57" s="134"/>
      <c r="Y57" s="134">
        <f>'бюджет округа (района)'!N57+'бюджеты поселений'!N57</f>
        <v>0</v>
      </c>
      <c r="Z57" s="137">
        <f>'бюджет округа (района)'!N57</f>
        <v>0</v>
      </c>
      <c r="AA57" s="134"/>
      <c r="AB57" s="134"/>
      <c r="AC57" s="134">
        <f>'бюджет округа (района)'!P57+'бюджеты поселений'!P57</f>
        <v>0</v>
      </c>
      <c r="AD57" s="137">
        <f>'бюджет округа (района)'!P57</f>
        <v>0</v>
      </c>
      <c r="AE57" s="134"/>
      <c r="AF57" s="134"/>
      <c r="AG57" s="134">
        <f>'бюджет округа (района)'!R57+'бюджеты поселений'!R57</f>
        <v>0</v>
      </c>
      <c r="AH57" s="137">
        <f>'бюджет округа (района)'!R57</f>
        <v>0</v>
      </c>
      <c r="AI57" s="134"/>
      <c r="AJ57" s="134"/>
      <c r="AK57" s="134">
        <f>'бюджет округа (района)'!T57+'бюджеты поселений'!T57</f>
        <v>0</v>
      </c>
      <c r="AL57" s="137">
        <f>'бюджет округа (района)'!T57</f>
        <v>0</v>
      </c>
      <c r="AM57" s="134"/>
      <c r="AN57" s="134"/>
      <c r="AO57" s="134">
        <f>'бюджет округа (района)'!V57+'бюджеты поселений'!V57</f>
        <v>0</v>
      </c>
      <c r="AP57" s="137">
        <f>'бюджет округа (района)'!V57</f>
        <v>0</v>
      </c>
      <c r="AQ57" s="134"/>
      <c r="AR57" s="134"/>
      <c r="AS57" s="134">
        <f>'бюджет округа (района)'!X57+'бюджеты поселений'!X57</f>
        <v>0</v>
      </c>
      <c r="AT57" s="137">
        <f>'бюджет округа (района)'!X57</f>
        <v>0</v>
      </c>
      <c r="AU57" s="134"/>
      <c r="AV57" s="134"/>
      <c r="AW57" s="134">
        <f>'бюджет округа (района)'!Z57+'бюджеты поселений'!Z57</f>
        <v>0</v>
      </c>
      <c r="AX57" s="137">
        <f>'бюджет округа (района)'!Z57</f>
        <v>0</v>
      </c>
      <c r="AY57" s="134">
        <f>'бюджет округа (района)'!AA57+'бюджеты поселений'!AA57</f>
        <v>0</v>
      </c>
      <c r="AZ57" s="137">
        <f>'бюджет округа (района)'!AA57</f>
        <v>0</v>
      </c>
      <c r="BA57" s="135">
        <f t="shared" si="300"/>
        <v>1</v>
      </c>
      <c r="BB57" s="135">
        <f t="shared" si="300"/>
        <v>1</v>
      </c>
      <c r="BC57" s="134">
        <f>'бюджет округа (района)'!AC57+'бюджеты поселений'!AC57</f>
        <v>0</v>
      </c>
      <c r="BD57" s="137">
        <f>'бюджет округа (района)'!AC57</f>
        <v>0</v>
      </c>
      <c r="BE57" s="134">
        <f>'бюджет округа (района)'!AD57+'бюджеты поселений'!AD57</f>
        <v>0</v>
      </c>
      <c r="BF57" s="137">
        <f>'бюджет округа (района)'!AD57</f>
        <v>0</v>
      </c>
      <c r="BG57" s="134">
        <f t="shared" si="302"/>
        <v>0</v>
      </c>
      <c r="BH57" s="134">
        <f t="shared" si="302"/>
        <v>0</v>
      </c>
      <c r="BI57" s="135">
        <f t="shared" si="272"/>
        <v>1</v>
      </c>
      <c r="BJ57" s="135">
        <f t="shared" si="272"/>
        <v>1</v>
      </c>
      <c r="BK57" s="134">
        <f>'бюджет округа (района)'!AG57+'бюджеты поселений'!AG57</f>
        <v>0</v>
      </c>
      <c r="BL57" s="137">
        <f>'бюджет округа (района)'!AG57</f>
        <v>0</v>
      </c>
      <c r="BM57" s="134"/>
      <c r="BN57" s="134"/>
      <c r="BO57" s="135">
        <f t="shared" si="273"/>
        <v>1</v>
      </c>
      <c r="BP57" s="135">
        <f t="shared" si="273"/>
        <v>1</v>
      </c>
      <c r="BQ57" s="134">
        <f>'бюджет округа (района)'!AJ57+'бюджеты поселений'!AJ57</f>
        <v>0</v>
      </c>
      <c r="BR57" s="137">
        <f>'бюджет округа (района)'!AJ57</f>
        <v>0</v>
      </c>
      <c r="BS57" s="134"/>
      <c r="BT57" s="134"/>
      <c r="BU57" s="135">
        <f t="shared" si="274"/>
        <v>1</v>
      </c>
      <c r="BV57" s="135">
        <f t="shared" si="274"/>
        <v>1</v>
      </c>
      <c r="BW57" s="134">
        <f>'бюджет округа (района)'!AM57+'бюджеты поселений'!AM57</f>
        <v>0</v>
      </c>
      <c r="BX57" s="137">
        <f>'бюджет округа (района)'!AM57</f>
        <v>0</v>
      </c>
      <c r="BY57" s="134"/>
      <c r="BZ57" s="134"/>
      <c r="CA57" s="135">
        <f t="shared" si="275"/>
        <v>1</v>
      </c>
      <c r="CB57" s="135">
        <f t="shared" si="275"/>
        <v>1</v>
      </c>
      <c r="CC57" s="134">
        <f>'бюджет округа (района)'!AP57+'бюджеты поселений'!AP57</f>
        <v>0</v>
      </c>
      <c r="CD57" s="137">
        <f>'бюджет округа (района)'!AP57</f>
        <v>0</v>
      </c>
      <c r="CE57" s="134"/>
      <c r="CF57" s="134"/>
      <c r="CG57" s="135">
        <f t="shared" si="276"/>
        <v>1</v>
      </c>
      <c r="CH57" s="135">
        <f t="shared" si="276"/>
        <v>1</v>
      </c>
      <c r="CI57" s="134">
        <f>'бюджет округа (района)'!AS57+'бюджеты поселений'!AS57</f>
        <v>0</v>
      </c>
      <c r="CJ57" s="137">
        <f>'бюджет округа (района)'!AS57</f>
        <v>0</v>
      </c>
      <c r="CK57" s="134"/>
      <c r="CL57" s="134"/>
      <c r="CM57" s="135">
        <f t="shared" si="277"/>
        <v>1</v>
      </c>
      <c r="CN57" s="135">
        <f t="shared" si="277"/>
        <v>1</v>
      </c>
      <c r="CO57" s="134">
        <f>'бюджет округа (района)'!AV57+'бюджеты поселений'!AV57</f>
        <v>0</v>
      </c>
      <c r="CP57" s="137">
        <f>'бюджет округа (района)'!AV57</f>
        <v>0</v>
      </c>
      <c r="CQ57" s="134"/>
      <c r="CR57" s="134"/>
      <c r="CS57" s="135">
        <f t="shared" si="278"/>
        <v>1</v>
      </c>
      <c r="CT57" s="135">
        <f t="shared" si="278"/>
        <v>1</v>
      </c>
      <c r="CU57" s="134">
        <f>'бюджет округа (района)'!AY57+'бюджеты поселений'!AY57</f>
        <v>0</v>
      </c>
      <c r="CV57" s="137">
        <f>'бюджет округа (района)'!AY57</f>
        <v>0</v>
      </c>
      <c r="CW57" s="134"/>
      <c r="CX57" s="134"/>
      <c r="CY57" s="135">
        <f t="shared" si="279"/>
        <v>1</v>
      </c>
      <c r="CZ57" s="135">
        <f t="shared" si="279"/>
        <v>1</v>
      </c>
      <c r="DA57" s="134">
        <f>'бюджет округа (района)'!BB57+'бюджеты поселений'!BB57</f>
        <v>0</v>
      </c>
      <c r="DB57" s="137">
        <f>'бюджет округа (района)'!BB57</f>
        <v>0</v>
      </c>
      <c r="DC57" s="134"/>
      <c r="DD57" s="134"/>
      <c r="DE57" s="135">
        <f t="shared" si="280"/>
        <v>1</v>
      </c>
      <c r="DF57" s="135">
        <f t="shared" si="280"/>
        <v>1</v>
      </c>
      <c r="DG57" s="134">
        <f>'бюджет округа (района)'!BE57+'бюджеты поселений'!BE57</f>
        <v>0</v>
      </c>
      <c r="DH57" s="137">
        <f>'бюджет округа (района)'!BE57</f>
        <v>0</v>
      </c>
      <c r="DI57" s="134"/>
      <c r="DJ57" s="134"/>
      <c r="DK57" s="135">
        <f t="shared" si="281"/>
        <v>1</v>
      </c>
      <c r="DL57" s="135">
        <f t="shared" si="281"/>
        <v>1</v>
      </c>
      <c r="DM57" s="134">
        <f>'бюджет округа (района)'!BH57+'бюджеты поселений'!BH57</f>
        <v>0</v>
      </c>
      <c r="DN57" s="137">
        <f>'бюджет округа (района)'!BH57</f>
        <v>0</v>
      </c>
      <c r="DO57" s="134">
        <f>'бюджет округа (района)'!BI57+'бюджеты поселений'!BI57</f>
        <v>0</v>
      </c>
      <c r="DP57" s="137">
        <f>'бюджет округа (района)'!BI57</f>
        <v>0</v>
      </c>
      <c r="DQ57" s="134">
        <f>'бюджет округа (района)'!BJ57+'бюджеты поселений'!BJ57</f>
        <v>0</v>
      </c>
      <c r="DR57" s="137">
        <f>'бюджет округа (района)'!BJ57</f>
        <v>0</v>
      </c>
      <c r="DS57" s="135">
        <f>IF($AY$57=0,1,DQ57/$AY$57-1)</f>
        <v>1</v>
      </c>
      <c r="DT57" s="135">
        <f>IF($AZ$57=0,1,DR57/$AZ$57-1)</f>
        <v>1</v>
      </c>
      <c r="DU57" s="135">
        <f t="shared" si="58"/>
        <v>1</v>
      </c>
      <c r="DV57" s="135">
        <f t="shared" si="59"/>
        <v>1</v>
      </c>
      <c r="DW57" s="167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28" t="s">
        <v>120</v>
      </c>
      <c r="B58" s="229"/>
      <c r="C58" s="134">
        <f>'бюджет округа (района)'!C58+'бюджеты поселений'!C58</f>
        <v>0</v>
      </c>
      <c r="D58" s="137">
        <f>'бюджет округа (района)'!C58</f>
        <v>0</v>
      </c>
      <c r="E58" s="134">
        <f t="shared" si="336"/>
        <v>0</v>
      </c>
      <c r="F58" s="137">
        <f t="shared" si="336"/>
        <v>0</v>
      </c>
      <c r="G58" s="134">
        <f>'бюджет округа (района)'!E58+'бюджеты поселений'!E58</f>
        <v>0</v>
      </c>
      <c r="H58" s="137">
        <f>'бюджет округа (района)'!E58</f>
        <v>0</v>
      </c>
      <c r="I58" s="134">
        <f>'бюджет округа (района)'!F58+'бюджеты поселений'!F58</f>
        <v>0</v>
      </c>
      <c r="J58" s="137">
        <f>'бюджет округа (района)'!F58</f>
        <v>0</v>
      </c>
      <c r="K58" s="134">
        <f t="shared" si="301"/>
        <v>0</v>
      </c>
      <c r="L58" s="134">
        <f t="shared" si="301"/>
        <v>0</v>
      </c>
      <c r="M58" s="134">
        <f>'бюджет округа (района)'!H58+'бюджеты поселений'!H58</f>
        <v>0</v>
      </c>
      <c r="N58" s="137">
        <f>'бюджет округа (района)'!H58</f>
        <v>0</v>
      </c>
      <c r="O58" s="134">
        <f>K58+M58</f>
        <v>0</v>
      </c>
      <c r="P58" s="134">
        <f>L58+N58</f>
        <v>0</v>
      </c>
      <c r="Q58" s="134">
        <f>'бюджет округа (района)'!J58+'бюджеты поселений'!J58</f>
        <v>0</v>
      </c>
      <c r="R58" s="137">
        <f>'бюджет округа (района)'!J58</f>
        <v>0</v>
      </c>
      <c r="S58" s="134">
        <f>O58+Q58</f>
        <v>0</v>
      </c>
      <c r="T58" s="134">
        <f>P58+R58</f>
        <v>0</v>
      </c>
      <c r="U58" s="134">
        <f>'бюджет округа (района)'!L58+'бюджеты поселений'!L58</f>
        <v>0</v>
      </c>
      <c r="V58" s="137">
        <f>'бюджет округа (района)'!L58</f>
        <v>0</v>
      </c>
      <c r="W58" s="134">
        <f>S58+U58</f>
        <v>0</v>
      </c>
      <c r="X58" s="134">
        <f>T58+V58</f>
        <v>0</v>
      </c>
      <c r="Y58" s="134">
        <f>'бюджет округа (района)'!N58+'бюджеты поселений'!N58</f>
        <v>0</v>
      </c>
      <c r="Z58" s="137">
        <f>'бюджет округа (района)'!N58</f>
        <v>0</v>
      </c>
      <c r="AA58" s="134">
        <f>W58+Y58</f>
        <v>0</v>
      </c>
      <c r="AB58" s="134">
        <f>X58+Z58</f>
        <v>0</v>
      </c>
      <c r="AC58" s="134">
        <f>'бюджет округа (района)'!P58+'бюджеты поселений'!P58</f>
        <v>0</v>
      </c>
      <c r="AD58" s="137">
        <f>'бюджет округа (района)'!P58</f>
        <v>0</v>
      </c>
      <c r="AE58" s="134">
        <f>AA58+AC58</f>
        <v>0</v>
      </c>
      <c r="AF58" s="134">
        <f>AB58+AD58</f>
        <v>0</v>
      </c>
      <c r="AG58" s="134">
        <f>'бюджет округа (района)'!R58+'бюджеты поселений'!R58</f>
        <v>0</v>
      </c>
      <c r="AH58" s="137">
        <f>'бюджет округа (района)'!R58</f>
        <v>0</v>
      </c>
      <c r="AI58" s="134">
        <f>AE58+AG58</f>
        <v>0</v>
      </c>
      <c r="AJ58" s="134">
        <f>AF58+AH58</f>
        <v>0</v>
      </c>
      <c r="AK58" s="134">
        <f>'бюджет округа (района)'!T58+'бюджеты поселений'!T58</f>
        <v>0</v>
      </c>
      <c r="AL58" s="137">
        <f>'бюджет округа (района)'!T58</f>
        <v>0</v>
      </c>
      <c r="AM58" s="134">
        <f>AI58+AK58</f>
        <v>0</v>
      </c>
      <c r="AN58" s="134">
        <f>AJ58+AL58</f>
        <v>0</v>
      </c>
      <c r="AO58" s="134">
        <f>'бюджет округа (района)'!V58+'бюджеты поселений'!V58</f>
        <v>0</v>
      </c>
      <c r="AP58" s="137">
        <f>'бюджет округа (района)'!V58</f>
        <v>0</v>
      </c>
      <c r="AQ58" s="134">
        <f>AM58+AO58</f>
        <v>0</v>
      </c>
      <c r="AR58" s="134">
        <f>AN58+AP58</f>
        <v>0</v>
      </c>
      <c r="AS58" s="134">
        <f>'бюджет округа (района)'!X58+'бюджеты поселений'!X58</f>
        <v>0</v>
      </c>
      <c r="AT58" s="137">
        <f>'бюджет округа (района)'!X58</f>
        <v>0</v>
      </c>
      <c r="AU58" s="134">
        <f>AQ58+AS58</f>
        <v>0</v>
      </c>
      <c r="AV58" s="134">
        <f>AR58+AT58</f>
        <v>0</v>
      </c>
      <c r="AW58" s="134">
        <f>'бюджет округа (района)'!Z58+'бюджеты поселений'!Z58</f>
        <v>0</v>
      </c>
      <c r="AX58" s="137">
        <f>'бюджет округа (района)'!Z58</f>
        <v>0</v>
      </c>
      <c r="AY58" s="134">
        <f>'бюджет округа (района)'!AA58+'бюджеты поселений'!AA58</f>
        <v>0</v>
      </c>
      <c r="AZ58" s="137">
        <f>'бюджет округа (района)'!AA58</f>
        <v>0</v>
      </c>
      <c r="BA58" s="135">
        <f t="shared" si="300"/>
        <v>1</v>
      </c>
      <c r="BB58" s="135">
        <f t="shared" si="300"/>
        <v>1</v>
      </c>
      <c r="BC58" s="134">
        <f>'бюджет округа (района)'!AC58+'бюджеты поселений'!AC58</f>
        <v>0</v>
      </c>
      <c r="BD58" s="137">
        <f>'бюджет округа (района)'!AC58</f>
        <v>0</v>
      </c>
      <c r="BE58" s="134">
        <f>'бюджет округа (района)'!AD58+'бюджеты поселений'!AD58</f>
        <v>0</v>
      </c>
      <c r="BF58" s="137">
        <f>'бюджет округа (района)'!AD58</f>
        <v>0</v>
      </c>
      <c r="BG58" s="134">
        <f t="shared" si="302"/>
        <v>0</v>
      </c>
      <c r="BH58" s="134">
        <f t="shared" si="302"/>
        <v>0</v>
      </c>
      <c r="BI58" s="135">
        <f t="shared" si="272"/>
        <v>1</v>
      </c>
      <c r="BJ58" s="135">
        <f t="shared" si="272"/>
        <v>1</v>
      </c>
      <c r="BK58" s="134">
        <f>'бюджет округа (района)'!AG58+'бюджеты поселений'!AG58</f>
        <v>0</v>
      </c>
      <c r="BL58" s="137">
        <f>'бюджет округа (района)'!AG58</f>
        <v>0</v>
      </c>
      <c r="BM58" s="134">
        <f>BG58+BK58</f>
        <v>0</v>
      </c>
      <c r="BN58" s="134">
        <f>BH58+BL58</f>
        <v>0</v>
      </c>
      <c r="BO58" s="135">
        <f t="shared" si="273"/>
        <v>1</v>
      </c>
      <c r="BP58" s="135">
        <f t="shared" si="273"/>
        <v>1</v>
      </c>
      <c r="BQ58" s="134">
        <f>'бюджет округа (района)'!AJ58+'бюджеты поселений'!AJ58</f>
        <v>0</v>
      </c>
      <c r="BR58" s="137">
        <f>'бюджет округа (района)'!AJ58</f>
        <v>0</v>
      </c>
      <c r="BS58" s="134">
        <f>BM58+BQ58</f>
        <v>0</v>
      </c>
      <c r="BT58" s="134">
        <f>BN58+BR58</f>
        <v>0</v>
      </c>
      <c r="BU58" s="135">
        <f t="shared" si="274"/>
        <v>1</v>
      </c>
      <c r="BV58" s="135">
        <f t="shared" si="274"/>
        <v>1</v>
      </c>
      <c r="BW58" s="134">
        <f>'бюджет округа (района)'!AM58+'бюджеты поселений'!AM58</f>
        <v>0</v>
      </c>
      <c r="BX58" s="137">
        <f>'бюджет округа (района)'!AM58</f>
        <v>0</v>
      </c>
      <c r="BY58" s="134">
        <f>BS58+BW58</f>
        <v>0</v>
      </c>
      <c r="BZ58" s="134">
        <f>BT58+BX58</f>
        <v>0</v>
      </c>
      <c r="CA58" s="135">
        <f t="shared" si="275"/>
        <v>1</v>
      </c>
      <c r="CB58" s="135">
        <f t="shared" si="275"/>
        <v>1</v>
      </c>
      <c r="CC58" s="134">
        <f>'бюджет округа (района)'!AP58+'бюджеты поселений'!AP58</f>
        <v>0</v>
      </c>
      <c r="CD58" s="137">
        <f>'бюджет округа (района)'!AP58</f>
        <v>0</v>
      </c>
      <c r="CE58" s="134">
        <f>BY58+CC58</f>
        <v>0</v>
      </c>
      <c r="CF58" s="134">
        <f>BZ58+CD58</f>
        <v>0</v>
      </c>
      <c r="CG58" s="135">
        <f t="shared" si="276"/>
        <v>1</v>
      </c>
      <c r="CH58" s="135">
        <f t="shared" si="276"/>
        <v>1</v>
      </c>
      <c r="CI58" s="134">
        <f>'бюджет округа (района)'!AS58+'бюджеты поселений'!AS58</f>
        <v>0</v>
      </c>
      <c r="CJ58" s="137">
        <f>'бюджет округа (района)'!AS58</f>
        <v>0</v>
      </c>
      <c r="CK58" s="134">
        <f>CE58+CI58</f>
        <v>0</v>
      </c>
      <c r="CL58" s="134">
        <f>CF58+CJ58</f>
        <v>0</v>
      </c>
      <c r="CM58" s="135">
        <f t="shared" si="277"/>
        <v>1</v>
      </c>
      <c r="CN58" s="135">
        <f t="shared" si="277"/>
        <v>1</v>
      </c>
      <c r="CO58" s="134">
        <f>'бюджет округа (района)'!AV58+'бюджеты поселений'!AV58</f>
        <v>0</v>
      </c>
      <c r="CP58" s="137">
        <f>'бюджет округа (района)'!AV58</f>
        <v>0</v>
      </c>
      <c r="CQ58" s="134">
        <f>CK58+CO58</f>
        <v>0</v>
      </c>
      <c r="CR58" s="134">
        <f>CL58+CP58</f>
        <v>0</v>
      </c>
      <c r="CS58" s="135">
        <f t="shared" si="278"/>
        <v>1</v>
      </c>
      <c r="CT58" s="135">
        <f t="shared" si="278"/>
        <v>1</v>
      </c>
      <c r="CU58" s="134">
        <f>'бюджет округа (района)'!AY58+'бюджеты поселений'!AY58</f>
        <v>0</v>
      </c>
      <c r="CV58" s="137">
        <f>'бюджет округа (района)'!AY58</f>
        <v>0</v>
      </c>
      <c r="CW58" s="134">
        <f>CQ58+CU58</f>
        <v>0</v>
      </c>
      <c r="CX58" s="134">
        <f>CR58+CV58</f>
        <v>0</v>
      </c>
      <c r="CY58" s="135">
        <f t="shared" si="279"/>
        <v>1</v>
      </c>
      <c r="CZ58" s="135">
        <f t="shared" si="279"/>
        <v>1</v>
      </c>
      <c r="DA58" s="134">
        <f>'бюджет округа (района)'!BB58+'бюджеты поселений'!BB58</f>
        <v>0</v>
      </c>
      <c r="DB58" s="137">
        <f>'бюджет округа (района)'!BB58</f>
        <v>0</v>
      </c>
      <c r="DC58" s="134">
        <f>CW58+DA58</f>
        <v>0</v>
      </c>
      <c r="DD58" s="134">
        <f>CX58+DB58</f>
        <v>0</v>
      </c>
      <c r="DE58" s="135">
        <f t="shared" si="280"/>
        <v>1</v>
      </c>
      <c r="DF58" s="135">
        <f t="shared" si="280"/>
        <v>1</v>
      </c>
      <c r="DG58" s="134">
        <f>'бюджет округа (района)'!BE58+'бюджеты поселений'!BE58</f>
        <v>0</v>
      </c>
      <c r="DH58" s="137">
        <f>'бюджет округа (района)'!BE58</f>
        <v>0</v>
      </c>
      <c r="DI58" s="134">
        <f>DC58+DG58</f>
        <v>0</v>
      </c>
      <c r="DJ58" s="134">
        <f>DD58+DH58</f>
        <v>0</v>
      </c>
      <c r="DK58" s="135">
        <f t="shared" si="281"/>
        <v>1</v>
      </c>
      <c r="DL58" s="135">
        <f t="shared" si="281"/>
        <v>1</v>
      </c>
      <c r="DM58" s="134">
        <f>'бюджет округа (района)'!BH58+'бюджеты поселений'!BH58</f>
        <v>0</v>
      </c>
      <c r="DN58" s="137">
        <f>'бюджет округа (района)'!BH58</f>
        <v>0</v>
      </c>
      <c r="DO58" s="134">
        <f>'бюджет округа (района)'!BI58+'бюджеты поселений'!BI58</f>
        <v>0</v>
      </c>
      <c r="DP58" s="137">
        <f>'бюджет округа (района)'!BI58</f>
        <v>0</v>
      </c>
      <c r="DQ58" s="134">
        <f>'бюджет округа (района)'!BJ58+'бюджеты поселений'!BJ58</f>
        <v>0</v>
      </c>
      <c r="DR58" s="137">
        <f>'бюджет округа (района)'!BJ58</f>
        <v>0</v>
      </c>
      <c r="DS58" s="135">
        <f>IF($AY$58=0,1,DQ58/$AY$58-1)</f>
        <v>1</v>
      </c>
      <c r="DT58" s="135">
        <f>IF($AZ$58=0,1,DR58/$AZ$58-1)</f>
        <v>1</v>
      </c>
      <c r="DU58" s="135">
        <f t="shared" si="58"/>
        <v>1</v>
      </c>
      <c r="DV58" s="135">
        <f t="shared" si="59"/>
        <v>1</v>
      </c>
      <c r="DW58" s="167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28" t="s">
        <v>121</v>
      </c>
      <c r="B59" s="229"/>
      <c r="C59" s="134">
        <f>'бюджет округа (района)'!C59+'бюджеты поселений'!C59</f>
        <v>0</v>
      </c>
      <c r="D59" s="137">
        <f>'бюджет округа (района)'!C59</f>
        <v>0</v>
      </c>
      <c r="E59" s="134">
        <f t="shared" si="336"/>
        <v>0</v>
      </c>
      <c r="F59" s="137">
        <f t="shared" si="336"/>
        <v>0</v>
      </c>
      <c r="G59" s="134">
        <f>'бюджет округа (района)'!E59+'бюджеты поселений'!E59</f>
        <v>0</v>
      </c>
      <c r="H59" s="137">
        <f>'бюджет округа (района)'!E59</f>
        <v>0</v>
      </c>
      <c r="I59" s="134">
        <f>'бюджет округа (района)'!F59+'бюджеты поселений'!F59</f>
        <v>0</v>
      </c>
      <c r="J59" s="137">
        <f>'бюджет округа (района)'!F59</f>
        <v>0</v>
      </c>
      <c r="K59" s="134">
        <f t="shared" si="301"/>
        <v>0</v>
      </c>
      <c r="L59" s="134">
        <f t="shared" si="301"/>
        <v>0</v>
      </c>
      <c r="M59" s="134">
        <f>'бюджет округа (района)'!H59+'бюджеты поселений'!H59</f>
        <v>0</v>
      </c>
      <c r="N59" s="137">
        <f>'бюджет округа (района)'!H59</f>
        <v>0</v>
      </c>
      <c r="O59" s="134"/>
      <c r="P59" s="134"/>
      <c r="Q59" s="134">
        <f>'бюджет округа (района)'!J59+'бюджеты поселений'!J59</f>
        <v>0</v>
      </c>
      <c r="R59" s="137">
        <f>'бюджет округа (района)'!J59</f>
        <v>0</v>
      </c>
      <c r="S59" s="134"/>
      <c r="T59" s="134"/>
      <c r="U59" s="134">
        <f>'бюджет округа (района)'!L59+'бюджеты поселений'!L59</f>
        <v>0</v>
      </c>
      <c r="V59" s="137">
        <f>'бюджет округа (района)'!L59</f>
        <v>0</v>
      </c>
      <c r="W59" s="134"/>
      <c r="X59" s="134"/>
      <c r="Y59" s="134">
        <f>'бюджет округа (района)'!N59+'бюджеты поселений'!N59</f>
        <v>0</v>
      </c>
      <c r="Z59" s="137">
        <f>'бюджет округа (района)'!N59</f>
        <v>0</v>
      </c>
      <c r="AA59" s="134"/>
      <c r="AB59" s="134"/>
      <c r="AC59" s="134">
        <f>'бюджет округа (района)'!P59+'бюджеты поселений'!P59</f>
        <v>0</v>
      </c>
      <c r="AD59" s="137">
        <f>'бюджет округа (района)'!P59</f>
        <v>0</v>
      </c>
      <c r="AE59" s="134"/>
      <c r="AF59" s="134"/>
      <c r="AG59" s="134">
        <f>'бюджет округа (района)'!R59+'бюджеты поселений'!R59</f>
        <v>0</v>
      </c>
      <c r="AH59" s="137">
        <f>'бюджет округа (района)'!R59</f>
        <v>0</v>
      </c>
      <c r="AI59" s="134"/>
      <c r="AJ59" s="134"/>
      <c r="AK59" s="134">
        <f>'бюджет округа (района)'!T59+'бюджеты поселений'!T59</f>
        <v>0</v>
      </c>
      <c r="AL59" s="137">
        <f>'бюджет округа (района)'!T59</f>
        <v>0</v>
      </c>
      <c r="AM59" s="134"/>
      <c r="AN59" s="134"/>
      <c r="AO59" s="134">
        <f>'бюджет округа (района)'!V59+'бюджеты поселений'!V59</f>
        <v>0</v>
      </c>
      <c r="AP59" s="137">
        <f>'бюджет округа (района)'!V59</f>
        <v>0</v>
      </c>
      <c r="AQ59" s="134"/>
      <c r="AR59" s="134"/>
      <c r="AS59" s="134">
        <f>'бюджет округа (района)'!X59+'бюджеты поселений'!X59</f>
        <v>0</v>
      </c>
      <c r="AT59" s="137">
        <f>'бюджет округа (района)'!X59</f>
        <v>0</v>
      </c>
      <c r="AU59" s="134"/>
      <c r="AV59" s="134"/>
      <c r="AW59" s="134">
        <f>'бюджет округа (района)'!Z59+'бюджеты поселений'!Z59</f>
        <v>0</v>
      </c>
      <c r="AX59" s="137">
        <f>'бюджет округа (района)'!Z59</f>
        <v>0</v>
      </c>
      <c r="AY59" s="134">
        <f>'бюджет округа (района)'!AA59+'бюджеты поселений'!AA59</f>
        <v>0</v>
      </c>
      <c r="AZ59" s="137">
        <f>'бюджет округа (района)'!AA59</f>
        <v>0</v>
      </c>
      <c r="BA59" s="135">
        <f t="shared" ref="BA59:BB73" si="355">IF(E59=0,1,AY59/E59-1)</f>
        <v>1</v>
      </c>
      <c r="BB59" s="135">
        <f t="shared" si="355"/>
        <v>1</v>
      </c>
      <c r="BC59" s="134">
        <f>'бюджет округа (района)'!AC59+'бюджеты поселений'!AC59</f>
        <v>0</v>
      </c>
      <c r="BD59" s="137">
        <f>'бюджет округа (района)'!AC59</f>
        <v>0</v>
      </c>
      <c r="BE59" s="134">
        <f>'бюджет округа (района)'!AD59+'бюджеты поселений'!AD59</f>
        <v>0</v>
      </c>
      <c r="BF59" s="137">
        <f>'бюджет округа (района)'!AD59</f>
        <v>0</v>
      </c>
      <c r="BG59" s="134">
        <f t="shared" si="302"/>
        <v>0</v>
      </c>
      <c r="BH59" s="134">
        <f t="shared" si="302"/>
        <v>0</v>
      </c>
      <c r="BI59" s="135">
        <f t="shared" si="272"/>
        <v>1</v>
      </c>
      <c r="BJ59" s="135">
        <f t="shared" si="272"/>
        <v>1</v>
      </c>
      <c r="BK59" s="134">
        <f>'бюджет округа (района)'!AG59+'бюджеты поселений'!AG59</f>
        <v>0</v>
      </c>
      <c r="BL59" s="137">
        <f>'бюджет округа (района)'!AG59</f>
        <v>0</v>
      </c>
      <c r="BM59" s="134"/>
      <c r="BN59" s="134"/>
      <c r="BO59" s="135">
        <f t="shared" si="273"/>
        <v>1</v>
      </c>
      <c r="BP59" s="135">
        <f t="shared" si="273"/>
        <v>1</v>
      </c>
      <c r="BQ59" s="134">
        <f>'бюджет округа (района)'!AJ59+'бюджеты поселений'!AJ59</f>
        <v>0</v>
      </c>
      <c r="BR59" s="137">
        <f>'бюджет округа (района)'!AJ59</f>
        <v>0</v>
      </c>
      <c r="BS59" s="134"/>
      <c r="BT59" s="134"/>
      <c r="BU59" s="135">
        <f t="shared" si="274"/>
        <v>1</v>
      </c>
      <c r="BV59" s="135">
        <f t="shared" si="274"/>
        <v>1</v>
      </c>
      <c r="BW59" s="134">
        <f>'бюджет округа (района)'!AM59+'бюджеты поселений'!AM59</f>
        <v>0</v>
      </c>
      <c r="BX59" s="137">
        <f>'бюджет округа (района)'!AM59</f>
        <v>0</v>
      </c>
      <c r="BY59" s="134"/>
      <c r="BZ59" s="134"/>
      <c r="CA59" s="135">
        <f t="shared" si="275"/>
        <v>1</v>
      </c>
      <c r="CB59" s="135">
        <f t="shared" si="275"/>
        <v>1</v>
      </c>
      <c r="CC59" s="134">
        <f>'бюджет округа (района)'!AP59+'бюджеты поселений'!AP59</f>
        <v>0</v>
      </c>
      <c r="CD59" s="137">
        <f>'бюджет округа (района)'!AP59</f>
        <v>0</v>
      </c>
      <c r="CE59" s="134"/>
      <c r="CF59" s="134"/>
      <c r="CG59" s="135">
        <f t="shared" si="276"/>
        <v>1</v>
      </c>
      <c r="CH59" s="135">
        <f t="shared" si="276"/>
        <v>1</v>
      </c>
      <c r="CI59" s="134">
        <f>'бюджет округа (района)'!AS59+'бюджеты поселений'!AS59</f>
        <v>0</v>
      </c>
      <c r="CJ59" s="137">
        <f>'бюджет округа (района)'!AS59</f>
        <v>0</v>
      </c>
      <c r="CK59" s="134"/>
      <c r="CL59" s="134"/>
      <c r="CM59" s="135">
        <f t="shared" si="277"/>
        <v>1</v>
      </c>
      <c r="CN59" s="135">
        <f t="shared" si="277"/>
        <v>1</v>
      </c>
      <c r="CO59" s="134">
        <f>'бюджет округа (района)'!AV59+'бюджеты поселений'!AV59</f>
        <v>0</v>
      </c>
      <c r="CP59" s="137">
        <f>'бюджет округа (района)'!AV59</f>
        <v>0</v>
      </c>
      <c r="CQ59" s="134"/>
      <c r="CR59" s="134"/>
      <c r="CS59" s="135">
        <f t="shared" si="278"/>
        <v>1</v>
      </c>
      <c r="CT59" s="135">
        <f t="shared" si="278"/>
        <v>1</v>
      </c>
      <c r="CU59" s="134">
        <f>'бюджет округа (района)'!AY59+'бюджеты поселений'!AY59</f>
        <v>0</v>
      </c>
      <c r="CV59" s="137">
        <f>'бюджет округа (района)'!AY59</f>
        <v>0</v>
      </c>
      <c r="CW59" s="134"/>
      <c r="CX59" s="134"/>
      <c r="CY59" s="135">
        <f t="shared" si="279"/>
        <v>1</v>
      </c>
      <c r="CZ59" s="135">
        <f t="shared" si="279"/>
        <v>1</v>
      </c>
      <c r="DA59" s="134">
        <f>'бюджет округа (района)'!BB59+'бюджеты поселений'!BB59</f>
        <v>0</v>
      </c>
      <c r="DB59" s="137">
        <f>'бюджет округа (района)'!BB59</f>
        <v>0</v>
      </c>
      <c r="DC59" s="134"/>
      <c r="DD59" s="134"/>
      <c r="DE59" s="135">
        <f t="shared" si="280"/>
        <v>1</v>
      </c>
      <c r="DF59" s="135">
        <f t="shared" si="280"/>
        <v>1</v>
      </c>
      <c r="DG59" s="134">
        <f>'бюджет округа (района)'!BE59+'бюджеты поселений'!BE59</f>
        <v>0</v>
      </c>
      <c r="DH59" s="137">
        <f>'бюджет округа (района)'!BE59</f>
        <v>0</v>
      </c>
      <c r="DI59" s="134"/>
      <c r="DJ59" s="134"/>
      <c r="DK59" s="135">
        <f t="shared" si="281"/>
        <v>1</v>
      </c>
      <c r="DL59" s="135">
        <f t="shared" si="281"/>
        <v>1</v>
      </c>
      <c r="DM59" s="134">
        <f>'бюджет округа (района)'!BH59+'бюджеты поселений'!BH59</f>
        <v>0</v>
      </c>
      <c r="DN59" s="137">
        <f>'бюджет округа (района)'!BH59</f>
        <v>0</v>
      </c>
      <c r="DO59" s="134">
        <f>'бюджет округа (района)'!BI59+'бюджеты поселений'!BI59</f>
        <v>0</v>
      </c>
      <c r="DP59" s="137">
        <f>'бюджет округа (района)'!BI59</f>
        <v>0</v>
      </c>
      <c r="DQ59" s="134">
        <f>'бюджет округа (района)'!BJ59+'бюджеты поселений'!BJ59</f>
        <v>0</v>
      </c>
      <c r="DR59" s="137">
        <f>'бюджет округа (района)'!BJ59</f>
        <v>0</v>
      </c>
      <c r="DS59" s="135">
        <f>IF($AY$59=0,1,DQ59/$AY$59-1)</f>
        <v>1</v>
      </c>
      <c r="DT59" s="135">
        <f>IF($AZ$59=0,1,DR59/$AZ$59-1)</f>
        <v>1</v>
      </c>
      <c r="DU59" s="135">
        <f t="shared" si="58"/>
        <v>1</v>
      </c>
      <c r="DV59" s="135">
        <f t="shared" si="59"/>
        <v>1</v>
      </c>
      <c r="DW59" s="167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28" t="s">
        <v>122</v>
      </c>
      <c r="B60" s="229"/>
      <c r="C60" s="134">
        <f>'бюджет округа (района)'!C60+'бюджеты поселений'!C60</f>
        <v>0</v>
      </c>
      <c r="D60" s="137">
        <f>'бюджет округа (района)'!C60</f>
        <v>0</v>
      </c>
      <c r="E60" s="134">
        <f t="shared" si="336"/>
        <v>0</v>
      </c>
      <c r="F60" s="137">
        <f t="shared" si="336"/>
        <v>0</v>
      </c>
      <c r="G60" s="134">
        <f>'бюджет округа (района)'!E60+'бюджеты поселений'!E60</f>
        <v>0</v>
      </c>
      <c r="H60" s="137">
        <f>'бюджет округа (района)'!E60</f>
        <v>0</v>
      </c>
      <c r="I60" s="134">
        <f>'бюджет округа (района)'!F60+'бюджеты поселений'!F60</f>
        <v>0</v>
      </c>
      <c r="J60" s="137">
        <f>'бюджет округа (района)'!F60</f>
        <v>0</v>
      </c>
      <c r="K60" s="134">
        <f t="shared" si="301"/>
        <v>0</v>
      </c>
      <c r="L60" s="134">
        <f t="shared" si="301"/>
        <v>0</v>
      </c>
      <c r="M60" s="134">
        <f>'бюджет округа (района)'!H60+'бюджеты поселений'!H60</f>
        <v>0</v>
      </c>
      <c r="N60" s="137">
        <f>'бюджет округа (района)'!H60</f>
        <v>0</v>
      </c>
      <c r="O60" s="134"/>
      <c r="P60" s="134"/>
      <c r="Q60" s="134">
        <f>'бюджет округа (района)'!J60+'бюджеты поселений'!J60</f>
        <v>0</v>
      </c>
      <c r="R60" s="137">
        <f>'бюджет округа (района)'!J60</f>
        <v>0</v>
      </c>
      <c r="S60" s="134"/>
      <c r="T60" s="134"/>
      <c r="U60" s="134">
        <f>'бюджет округа (района)'!L60+'бюджеты поселений'!L60</f>
        <v>0</v>
      </c>
      <c r="V60" s="137">
        <f>'бюджет округа (района)'!L60</f>
        <v>0</v>
      </c>
      <c r="W60" s="134"/>
      <c r="X60" s="134"/>
      <c r="Y60" s="134">
        <f>'бюджет округа (района)'!N60+'бюджеты поселений'!N60</f>
        <v>0</v>
      </c>
      <c r="Z60" s="137">
        <f>'бюджет округа (района)'!N60</f>
        <v>0</v>
      </c>
      <c r="AA60" s="134"/>
      <c r="AB60" s="134"/>
      <c r="AC60" s="134">
        <f>'бюджет округа (района)'!P60+'бюджеты поселений'!P60</f>
        <v>0</v>
      </c>
      <c r="AD60" s="137">
        <f>'бюджет округа (района)'!P60</f>
        <v>0</v>
      </c>
      <c r="AE60" s="134"/>
      <c r="AF60" s="134"/>
      <c r="AG60" s="134">
        <f>'бюджет округа (района)'!R60+'бюджеты поселений'!R60</f>
        <v>0</v>
      </c>
      <c r="AH60" s="137">
        <f>'бюджет округа (района)'!R60</f>
        <v>0</v>
      </c>
      <c r="AI60" s="134"/>
      <c r="AJ60" s="134"/>
      <c r="AK60" s="134">
        <f>'бюджет округа (района)'!T60+'бюджеты поселений'!T60</f>
        <v>0</v>
      </c>
      <c r="AL60" s="137">
        <f>'бюджет округа (района)'!T60</f>
        <v>0</v>
      </c>
      <c r="AM60" s="134"/>
      <c r="AN60" s="134"/>
      <c r="AO60" s="134">
        <f>'бюджет округа (района)'!V60+'бюджеты поселений'!V60</f>
        <v>0</v>
      </c>
      <c r="AP60" s="137">
        <f>'бюджет округа (района)'!V60</f>
        <v>0</v>
      </c>
      <c r="AQ60" s="134"/>
      <c r="AR60" s="134"/>
      <c r="AS60" s="134">
        <f>'бюджет округа (района)'!X60+'бюджеты поселений'!X60</f>
        <v>0</v>
      </c>
      <c r="AT60" s="137">
        <f>'бюджет округа (района)'!X60</f>
        <v>0</v>
      </c>
      <c r="AU60" s="134"/>
      <c r="AV60" s="134"/>
      <c r="AW60" s="134">
        <f>'бюджет округа (района)'!Z60+'бюджеты поселений'!Z60</f>
        <v>0</v>
      </c>
      <c r="AX60" s="137">
        <f>'бюджет округа (района)'!Z60</f>
        <v>0</v>
      </c>
      <c r="AY60" s="134">
        <f>'бюджет округа (района)'!AA60+'бюджеты поселений'!AA60</f>
        <v>0</v>
      </c>
      <c r="AZ60" s="137">
        <f>'бюджет округа (района)'!AA60</f>
        <v>0</v>
      </c>
      <c r="BA60" s="135">
        <f t="shared" si="355"/>
        <v>1</v>
      </c>
      <c r="BB60" s="135">
        <f t="shared" si="355"/>
        <v>1</v>
      </c>
      <c r="BC60" s="134">
        <f>'бюджет округа (района)'!AC60+'бюджеты поселений'!AC60</f>
        <v>0</v>
      </c>
      <c r="BD60" s="137">
        <f>'бюджет округа (района)'!AC60</f>
        <v>0</v>
      </c>
      <c r="BE60" s="134">
        <f>'бюджет округа (района)'!AD60+'бюджеты поселений'!AD60</f>
        <v>0</v>
      </c>
      <c r="BF60" s="137">
        <f>'бюджет округа (района)'!AD60</f>
        <v>0</v>
      </c>
      <c r="BG60" s="134">
        <f t="shared" si="302"/>
        <v>0</v>
      </c>
      <c r="BH60" s="134">
        <f t="shared" si="302"/>
        <v>0</v>
      </c>
      <c r="BI60" s="135">
        <f t="shared" si="272"/>
        <v>1</v>
      </c>
      <c r="BJ60" s="135">
        <f t="shared" si="272"/>
        <v>1</v>
      </c>
      <c r="BK60" s="134">
        <f>'бюджет округа (района)'!AG60+'бюджеты поселений'!AG60</f>
        <v>0</v>
      </c>
      <c r="BL60" s="137">
        <f>'бюджет округа (района)'!AG60</f>
        <v>0</v>
      </c>
      <c r="BM60" s="134"/>
      <c r="BN60" s="134"/>
      <c r="BO60" s="135">
        <f t="shared" si="273"/>
        <v>1</v>
      </c>
      <c r="BP60" s="135">
        <f t="shared" si="273"/>
        <v>1</v>
      </c>
      <c r="BQ60" s="134">
        <f>'бюджет округа (района)'!AJ60+'бюджеты поселений'!AJ60</f>
        <v>0</v>
      </c>
      <c r="BR60" s="137">
        <f>'бюджет округа (района)'!AJ60</f>
        <v>0</v>
      </c>
      <c r="BS60" s="134"/>
      <c r="BT60" s="134"/>
      <c r="BU60" s="135">
        <f t="shared" si="274"/>
        <v>1</v>
      </c>
      <c r="BV60" s="135">
        <f t="shared" si="274"/>
        <v>1</v>
      </c>
      <c r="BW60" s="134">
        <f>'бюджет округа (района)'!AM60+'бюджеты поселений'!AM60</f>
        <v>0</v>
      </c>
      <c r="BX60" s="137">
        <f>'бюджет округа (района)'!AM60</f>
        <v>0</v>
      </c>
      <c r="BY60" s="134"/>
      <c r="BZ60" s="134"/>
      <c r="CA60" s="135">
        <f t="shared" si="275"/>
        <v>1</v>
      </c>
      <c r="CB60" s="135">
        <f t="shared" si="275"/>
        <v>1</v>
      </c>
      <c r="CC60" s="134">
        <f>'бюджет округа (района)'!AP60+'бюджеты поселений'!AP60</f>
        <v>0</v>
      </c>
      <c r="CD60" s="137">
        <f>'бюджет округа (района)'!AP60</f>
        <v>0</v>
      </c>
      <c r="CE60" s="134"/>
      <c r="CF60" s="134"/>
      <c r="CG60" s="135">
        <f t="shared" si="276"/>
        <v>1</v>
      </c>
      <c r="CH60" s="135">
        <f t="shared" si="276"/>
        <v>1</v>
      </c>
      <c r="CI60" s="134">
        <f>'бюджет округа (района)'!AS60+'бюджеты поселений'!AS60</f>
        <v>0</v>
      </c>
      <c r="CJ60" s="137">
        <f>'бюджет округа (района)'!AS60</f>
        <v>0</v>
      </c>
      <c r="CK60" s="134"/>
      <c r="CL60" s="134"/>
      <c r="CM60" s="135">
        <f t="shared" si="277"/>
        <v>1</v>
      </c>
      <c r="CN60" s="135">
        <f t="shared" si="277"/>
        <v>1</v>
      </c>
      <c r="CO60" s="134">
        <f>'бюджет округа (района)'!AV60+'бюджеты поселений'!AV60</f>
        <v>0</v>
      </c>
      <c r="CP60" s="137">
        <f>'бюджет округа (района)'!AV60</f>
        <v>0</v>
      </c>
      <c r="CQ60" s="134"/>
      <c r="CR60" s="134"/>
      <c r="CS60" s="135">
        <f t="shared" si="278"/>
        <v>1</v>
      </c>
      <c r="CT60" s="135">
        <f t="shared" si="278"/>
        <v>1</v>
      </c>
      <c r="CU60" s="134">
        <f>'бюджет округа (района)'!AY60+'бюджеты поселений'!AY60</f>
        <v>0</v>
      </c>
      <c r="CV60" s="137">
        <f>'бюджет округа (района)'!AY60</f>
        <v>0</v>
      </c>
      <c r="CW60" s="134"/>
      <c r="CX60" s="134"/>
      <c r="CY60" s="135">
        <f t="shared" si="279"/>
        <v>1</v>
      </c>
      <c r="CZ60" s="135">
        <f t="shared" si="279"/>
        <v>1</v>
      </c>
      <c r="DA60" s="134">
        <f>'бюджет округа (района)'!BB60+'бюджеты поселений'!BB60</f>
        <v>0</v>
      </c>
      <c r="DB60" s="137">
        <f>'бюджет округа (района)'!BB60</f>
        <v>0</v>
      </c>
      <c r="DC60" s="134"/>
      <c r="DD60" s="134"/>
      <c r="DE60" s="135">
        <f t="shared" si="280"/>
        <v>1</v>
      </c>
      <c r="DF60" s="135">
        <f t="shared" si="280"/>
        <v>1</v>
      </c>
      <c r="DG60" s="134">
        <f>'бюджет округа (района)'!BE60+'бюджеты поселений'!BE60</f>
        <v>0</v>
      </c>
      <c r="DH60" s="137">
        <f>'бюджет округа (района)'!BE60</f>
        <v>0</v>
      </c>
      <c r="DI60" s="134"/>
      <c r="DJ60" s="134"/>
      <c r="DK60" s="135">
        <f t="shared" si="281"/>
        <v>1</v>
      </c>
      <c r="DL60" s="135">
        <f t="shared" si="281"/>
        <v>1</v>
      </c>
      <c r="DM60" s="134">
        <f>'бюджет округа (района)'!BH60+'бюджеты поселений'!BH60</f>
        <v>0</v>
      </c>
      <c r="DN60" s="137">
        <f>'бюджет округа (района)'!BH60</f>
        <v>0</v>
      </c>
      <c r="DO60" s="134">
        <f>'бюджет округа (района)'!BI60+'бюджеты поселений'!BI60</f>
        <v>0</v>
      </c>
      <c r="DP60" s="137">
        <f>'бюджет округа (района)'!BI60</f>
        <v>0</v>
      </c>
      <c r="DQ60" s="134">
        <f>'бюджет округа (района)'!BJ60+'бюджеты поселений'!BJ60</f>
        <v>0</v>
      </c>
      <c r="DR60" s="137">
        <f>'бюджет округа (района)'!BJ60</f>
        <v>0</v>
      </c>
      <c r="DS60" s="135">
        <f>IF($AY$60=0,1,DQ60/$AY$60-1)</f>
        <v>1</v>
      </c>
      <c r="DT60" s="135">
        <f>IF($AZ$60=0,1,DR60/$AZ$60-1)</f>
        <v>1</v>
      </c>
      <c r="DU60" s="135">
        <f t="shared" si="58"/>
        <v>1</v>
      </c>
      <c r="DV60" s="135">
        <f t="shared" si="59"/>
        <v>1</v>
      </c>
      <c r="DW60" s="167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28" t="s">
        <v>123</v>
      </c>
      <c r="B61" s="229"/>
      <c r="C61" s="134">
        <f>'бюджет округа (района)'!C61+'бюджеты поселений'!C61</f>
        <v>0</v>
      </c>
      <c r="D61" s="137">
        <f>'бюджет округа (района)'!C61</f>
        <v>0</v>
      </c>
      <c r="E61" s="134">
        <f t="shared" si="336"/>
        <v>0</v>
      </c>
      <c r="F61" s="137">
        <f t="shared" si="336"/>
        <v>0</v>
      </c>
      <c r="G61" s="134">
        <f>'бюджет округа (района)'!E61+'бюджеты поселений'!E61</f>
        <v>0</v>
      </c>
      <c r="H61" s="137">
        <f>'бюджет округа (района)'!E61</f>
        <v>0</v>
      </c>
      <c r="I61" s="134">
        <f>'бюджет округа (района)'!F61+'бюджеты поселений'!F61</f>
        <v>0</v>
      </c>
      <c r="J61" s="137">
        <f>'бюджет округа (района)'!F61</f>
        <v>0</v>
      </c>
      <c r="K61" s="134">
        <f>G61+I61</f>
        <v>0</v>
      </c>
      <c r="L61" s="134">
        <f>H61+J61</f>
        <v>0</v>
      </c>
      <c r="M61" s="134">
        <f>'бюджет округа (района)'!H61+'бюджеты поселений'!H61</f>
        <v>0</v>
      </c>
      <c r="N61" s="137">
        <f>'бюджет округа (района)'!H61</f>
        <v>0</v>
      </c>
      <c r="O61" s="134">
        <f>K61+M61</f>
        <v>0</v>
      </c>
      <c r="P61" s="134">
        <f>L61+N61</f>
        <v>0</v>
      </c>
      <c r="Q61" s="134">
        <f>'бюджет округа (района)'!J61+'бюджеты поселений'!J61</f>
        <v>0</v>
      </c>
      <c r="R61" s="137">
        <f>'бюджет округа (района)'!J61</f>
        <v>0</v>
      </c>
      <c r="S61" s="134">
        <f>O61+Q61</f>
        <v>0</v>
      </c>
      <c r="T61" s="134">
        <f>P61+R61</f>
        <v>0</v>
      </c>
      <c r="U61" s="134">
        <f>'бюджет округа (района)'!L61+'бюджеты поселений'!L61</f>
        <v>0</v>
      </c>
      <c r="V61" s="137">
        <f>'бюджет округа (района)'!L61</f>
        <v>0</v>
      </c>
      <c r="W61" s="134">
        <f>S61+U61</f>
        <v>0</v>
      </c>
      <c r="X61" s="134">
        <f>T61+V61</f>
        <v>0</v>
      </c>
      <c r="Y61" s="134">
        <f>'бюджет округа (района)'!N61+'бюджеты поселений'!N61</f>
        <v>0</v>
      </c>
      <c r="Z61" s="137">
        <f>'бюджет округа (района)'!N61</f>
        <v>0</v>
      </c>
      <c r="AA61" s="134">
        <f>W61+Y61</f>
        <v>0</v>
      </c>
      <c r="AB61" s="134">
        <f>X61+Z61</f>
        <v>0</v>
      </c>
      <c r="AC61" s="134">
        <f>'бюджет округа (района)'!P61+'бюджеты поселений'!P61</f>
        <v>0</v>
      </c>
      <c r="AD61" s="137">
        <f>'бюджет округа (района)'!P61</f>
        <v>0</v>
      </c>
      <c r="AE61" s="134">
        <f>AA61+AC61</f>
        <v>0</v>
      </c>
      <c r="AF61" s="134">
        <f>AB61+AD61</f>
        <v>0</v>
      </c>
      <c r="AG61" s="134">
        <f>'бюджет округа (района)'!R61+'бюджеты поселений'!R61</f>
        <v>0</v>
      </c>
      <c r="AH61" s="137">
        <f>'бюджет округа (района)'!R61</f>
        <v>0</v>
      </c>
      <c r="AI61" s="134">
        <f>AE61+AG61</f>
        <v>0</v>
      </c>
      <c r="AJ61" s="134">
        <f>AF61+AH61</f>
        <v>0</v>
      </c>
      <c r="AK61" s="134">
        <f>'бюджет округа (района)'!T61+'бюджеты поселений'!T61</f>
        <v>0</v>
      </c>
      <c r="AL61" s="137">
        <f>'бюджет округа (района)'!T61</f>
        <v>0</v>
      </c>
      <c r="AM61" s="134">
        <f>AI61+AK61</f>
        <v>0</v>
      </c>
      <c r="AN61" s="134">
        <f>AJ61+AL61</f>
        <v>0</v>
      </c>
      <c r="AO61" s="134">
        <f>'бюджет округа (района)'!V61+'бюджеты поселений'!V61</f>
        <v>0</v>
      </c>
      <c r="AP61" s="137">
        <f>'бюджет округа (района)'!V61</f>
        <v>0</v>
      </c>
      <c r="AQ61" s="134">
        <f>AM61+AO61</f>
        <v>0</v>
      </c>
      <c r="AR61" s="134">
        <f>AN61+AP61</f>
        <v>0</v>
      </c>
      <c r="AS61" s="134">
        <f>'бюджет округа (района)'!X61+'бюджеты поселений'!X61</f>
        <v>0</v>
      </c>
      <c r="AT61" s="137">
        <f>'бюджет округа (района)'!X61</f>
        <v>0</v>
      </c>
      <c r="AU61" s="134">
        <f>AQ61+AS61</f>
        <v>0</v>
      </c>
      <c r="AV61" s="134">
        <f>AR61+AT61</f>
        <v>0</v>
      </c>
      <c r="AW61" s="134">
        <f>'бюджет округа (района)'!Z61+'бюджеты поселений'!Z61</f>
        <v>0</v>
      </c>
      <c r="AX61" s="137">
        <f>'бюджет округа (района)'!Z61</f>
        <v>0</v>
      </c>
      <c r="AY61" s="134">
        <f>'бюджет округа (района)'!AA61+'бюджеты поселений'!AA61</f>
        <v>0</v>
      </c>
      <c r="AZ61" s="137">
        <f>'бюджет округа (района)'!AA61</f>
        <v>0</v>
      </c>
      <c r="BA61" s="135">
        <f>IF(E61=0,1,AY61/E61-1)</f>
        <v>1</v>
      </c>
      <c r="BB61" s="135">
        <f>IF(F61=0,1,AZ61/F61-1)</f>
        <v>1</v>
      </c>
      <c r="BC61" s="134">
        <f>'бюджет округа (района)'!AC61+'бюджеты поселений'!AC61</f>
        <v>0</v>
      </c>
      <c r="BD61" s="137">
        <f>'бюджет округа (района)'!AC61</f>
        <v>0</v>
      </c>
      <c r="BE61" s="134">
        <f>'бюджет округа (района)'!AD61+'бюджеты поселений'!AD61</f>
        <v>0</v>
      </c>
      <c r="BF61" s="137">
        <f>'бюджет округа (района)'!AD61</f>
        <v>0</v>
      </c>
      <c r="BG61" s="134">
        <f>BC61+BE61</f>
        <v>0</v>
      </c>
      <c r="BH61" s="134">
        <f>BD61+BF61</f>
        <v>0</v>
      </c>
      <c r="BI61" s="135">
        <f>IF(K61=0,1,BG61/K61-1)</f>
        <v>1</v>
      </c>
      <c r="BJ61" s="135">
        <f>IF(L61=0,1,BH61/L61-1)</f>
        <v>1</v>
      </c>
      <c r="BK61" s="134">
        <f>'бюджет округа (района)'!AG61+'бюджеты поселений'!AG61</f>
        <v>0</v>
      </c>
      <c r="BL61" s="137">
        <f>'бюджет округа (района)'!AG61</f>
        <v>0</v>
      </c>
      <c r="BM61" s="134">
        <f>BG61+BK61</f>
        <v>0</v>
      </c>
      <c r="BN61" s="134">
        <f>BH61+BL61</f>
        <v>0</v>
      </c>
      <c r="BO61" s="135">
        <f>IF(O61=0,1,BM61/O61-1)</f>
        <v>1</v>
      </c>
      <c r="BP61" s="135">
        <f>IF(P61=0,1,BN61/P61-1)</f>
        <v>1</v>
      </c>
      <c r="BQ61" s="134">
        <f>'бюджет округа (района)'!AJ61+'бюджеты поселений'!AJ61</f>
        <v>0</v>
      </c>
      <c r="BR61" s="137">
        <f>'бюджет округа (района)'!AJ61</f>
        <v>0</v>
      </c>
      <c r="BS61" s="134">
        <f>BM61+BQ61</f>
        <v>0</v>
      </c>
      <c r="BT61" s="134">
        <f>BN61+BR61</f>
        <v>0</v>
      </c>
      <c r="BU61" s="135">
        <f>IF(S61=0,1,BS61/S61-1)</f>
        <v>1</v>
      </c>
      <c r="BV61" s="135">
        <f>IF(T61=0,1,BT61/T61-1)</f>
        <v>1</v>
      </c>
      <c r="BW61" s="134">
        <f>'бюджет округа (района)'!AM61+'бюджеты поселений'!AM61</f>
        <v>0</v>
      </c>
      <c r="BX61" s="137">
        <f>'бюджет округа (района)'!AM61</f>
        <v>0</v>
      </c>
      <c r="BY61" s="134">
        <f>BS61+BW61</f>
        <v>0</v>
      </c>
      <c r="BZ61" s="134">
        <f>BT61+BX61</f>
        <v>0</v>
      </c>
      <c r="CA61" s="135">
        <f>IF(W61=0,1,BY61/W61-1)</f>
        <v>1</v>
      </c>
      <c r="CB61" s="135">
        <f>IF(X61=0,1,BZ61/X61-1)</f>
        <v>1</v>
      </c>
      <c r="CC61" s="134">
        <f>'бюджет округа (района)'!AP61+'бюджеты поселений'!AP61</f>
        <v>0</v>
      </c>
      <c r="CD61" s="137">
        <f>'бюджет округа (района)'!AP61</f>
        <v>0</v>
      </c>
      <c r="CE61" s="134">
        <f>BY61+CC61</f>
        <v>0</v>
      </c>
      <c r="CF61" s="134">
        <f>BZ61+CD61</f>
        <v>0</v>
      </c>
      <c r="CG61" s="135">
        <f>IF(AA61=0,1,CE61/AA61-1)</f>
        <v>1</v>
      </c>
      <c r="CH61" s="135">
        <f>IF(AB61=0,1,CF61/AB61-1)</f>
        <v>1</v>
      </c>
      <c r="CI61" s="134">
        <f>'бюджет округа (района)'!AS61+'бюджеты поселений'!AS61</f>
        <v>0</v>
      </c>
      <c r="CJ61" s="137">
        <f>'бюджет округа (района)'!AS61</f>
        <v>0</v>
      </c>
      <c r="CK61" s="134">
        <f>CE61+CI61</f>
        <v>0</v>
      </c>
      <c r="CL61" s="134">
        <f>CF61+CJ61</f>
        <v>0</v>
      </c>
      <c r="CM61" s="135">
        <f>IF(AE61=0,1,CK61/AE61-1)</f>
        <v>1</v>
      </c>
      <c r="CN61" s="135">
        <f>IF(AF61=0,1,CL61/AF61-1)</f>
        <v>1</v>
      </c>
      <c r="CO61" s="134">
        <f>'бюджет округа (района)'!AV61+'бюджеты поселений'!AV61</f>
        <v>0</v>
      </c>
      <c r="CP61" s="137">
        <f>'бюджет округа (района)'!AV61</f>
        <v>0</v>
      </c>
      <c r="CQ61" s="134">
        <f>CK61+CO61</f>
        <v>0</v>
      </c>
      <c r="CR61" s="134">
        <f>CL61+CP61</f>
        <v>0</v>
      </c>
      <c r="CS61" s="135">
        <f>IF(AI61=0,1,CQ61/AI61-1)</f>
        <v>1</v>
      </c>
      <c r="CT61" s="135">
        <f>IF(AJ61=0,1,CR61/AJ61-1)</f>
        <v>1</v>
      </c>
      <c r="CU61" s="134">
        <f>'бюджет округа (района)'!AY61+'бюджеты поселений'!AY61</f>
        <v>0</v>
      </c>
      <c r="CV61" s="137">
        <f>'бюджет округа (района)'!AY61</f>
        <v>0</v>
      </c>
      <c r="CW61" s="134">
        <f>CQ61+CU61</f>
        <v>0</v>
      </c>
      <c r="CX61" s="134">
        <f>CR61+CV61</f>
        <v>0</v>
      </c>
      <c r="CY61" s="135">
        <f>IF(AM61=0,1,CW61/AM61-1)</f>
        <v>1</v>
      </c>
      <c r="CZ61" s="135">
        <f>IF(AN61=0,1,CX61/AN61-1)</f>
        <v>1</v>
      </c>
      <c r="DA61" s="134">
        <f>'бюджет округа (района)'!BB61+'бюджеты поселений'!BB61</f>
        <v>0</v>
      </c>
      <c r="DB61" s="137">
        <f>'бюджет округа (района)'!BB61</f>
        <v>0</v>
      </c>
      <c r="DC61" s="134">
        <f>CW61+DA61</f>
        <v>0</v>
      </c>
      <c r="DD61" s="134">
        <f>CX61+DB61</f>
        <v>0</v>
      </c>
      <c r="DE61" s="135">
        <f>IF(AQ61=0,1,DC61/AQ61-1)</f>
        <v>1</v>
      </c>
      <c r="DF61" s="135">
        <f>IF(AR61=0,1,DD61/AR61-1)</f>
        <v>1</v>
      </c>
      <c r="DG61" s="134">
        <f>'бюджет округа (района)'!BE61+'бюджеты поселений'!BE61</f>
        <v>0</v>
      </c>
      <c r="DH61" s="137">
        <f>'бюджет округа (района)'!BE61</f>
        <v>0</v>
      </c>
      <c r="DI61" s="134">
        <f>DC61+DG61</f>
        <v>0</v>
      </c>
      <c r="DJ61" s="134">
        <f>DD61+DH61</f>
        <v>0</v>
      </c>
      <c r="DK61" s="135">
        <f>IF(AU61=0,1,DI61/AU61-1)</f>
        <v>1</v>
      </c>
      <c r="DL61" s="135">
        <f>IF(AV61=0,1,DJ61/AV61-1)</f>
        <v>1</v>
      </c>
      <c r="DM61" s="134">
        <f>'бюджет округа (района)'!BH61+'бюджеты поселений'!BH61</f>
        <v>0</v>
      </c>
      <c r="DN61" s="137">
        <f>'бюджет округа (района)'!BH61</f>
        <v>0</v>
      </c>
      <c r="DO61" s="134">
        <f>'бюджет округа (района)'!BI61+'бюджеты поселений'!BI61</f>
        <v>0</v>
      </c>
      <c r="DP61" s="137">
        <f>'бюджет округа (района)'!BI61</f>
        <v>0</v>
      </c>
      <c r="DQ61" s="134">
        <f>'бюджет округа (района)'!BJ61+'бюджеты поселений'!BJ61</f>
        <v>0</v>
      </c>
      <c r="DR61" s="137">
        <f>'бюджет округа (района)'!BJ61</f>
        <v>0</v>
      </c>
      <c r="DS61" s="135">
        <f>IF($AY$61=0,1,DQ61/$AY$61-1)</f>
        <v>1</v>
      </c>
      <c r="DT61" s="135">
        <f>IF($AZ$61=0,1,DR61/$AZ$61-1)</f>
        <v>1</v>
      </c>
      <c r="DU61" s="135">
        <f t="shared" si="58"/>
        <v>1</v>
      </c>
      <c r="DV61" s="135">
        <f t="shared" si="59"/>
        <v>1</v>
      </c>
      <c r="DW61" s="167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" customHeight="1">
      <c r="A62" s="228" t="s">
        <v>124</v>
      </c>
      <c r="B62" s="229"/>
      <c r="C62" s="134">
        <f>'бюджет округа (района)'!C62+'бюджеты поселений'!C62</f>
        <v>0</v>
      </c>
      <c r="D62" s="137">
        <f>'бюджет округа (района)'!C62</f>
        <v>0</v>
      </c>
      <c r="E62" s="134">
        <f t="shared" si="336"/>
        <v>0</v>
      </c>
      <c r="F62" s="137">
        <f t="shared" si="336"/>
        <v>0</v>
      </c>
      <c r="G62" s="134">
        <f>'бюджет округа (района)'!E62+'бюджеты поселений'!E62</f>
        <v>0</v>
      </c>
      <c r="H62" s="137">
        <f>'бюджет округа (района)'!E62</f>
        <v>0</v>
      </c>
      <c r="I62" s="134">
        <f>'бюджет округа (района)'!F62+'бюджеты поселений'!F62</f>
        <v>0</v>
      </c>
      <c r="J62" s="137">
        <f>'бюджет округа (района)'!F62</f>
        <v>0</v>
      </c>
      <c r="K62" s="134">
        <f t="shared" si="301"/>
        <v>0</v>
      </c>
      <c r="L62" s="134">
        <f t="shared" si="301"/>
        <v>0</v>
      </c>
      <c r="M62" s="134">
        <f>'бюджет округа (района)'!H62+'бюджеты поселений'!H62</f>
        <v>0</v>
      </c>
      <c r="N62" s="137">
        <f>'бюджет округа (района)'!H62</f>
        <v>0</v>
      </c>
      <c r="O62" s="134"/>
      <c r="P62" s="134"/>
      <c r="Q62" s="134">
        <f>'бюджет округа (района)'!J62+'бюджеты поселений'!J62</f>
        <v>0</v>
      </c>
      <c r="R62" s="137">
        <f>'бюджет округа (района)'!J62</f>
        <v>0</v>
      </c>
      <c r="S62" s="134"/>
      <c r="T62" s="134"/>
      <c r="U62" s="134">
        <f>'бюджет округа (района)'!L62+'бюджеты поселений'!L62</f>
        <v>0</v>
      </c>
      <c r="V62" s="137">
        <f>'бюджет округа (района)'!L62</f>
        <v>0</v>
      </c>
      <c r="W62" s="134"/>
      <c r="X62" s="134"/>
      <c r="Y62" s="134">
        <f>'бюджет округа (района)'!N62+'бюджеты поселений'!N62</f>
        <v>0</v>
      </c>
      <c r="Z62" s="137">
        <f>'бюджет округа (района)'!N62</f>
        <v>0</v>
      </c>
      <c r="AA62" s="134"/>
      <c r="AB62" s="134"/>
      <c r="AC62" s="134">
        <f>'бюджет округа (района)'!P62+'бюджеты поселений'!P62</f>
        <v>0</v>
      </c>
      <c r="AD62" s="137">
        <f>'бюджет округа (района)'!P62</f>
        <v>0</v>
      </c>
      <c r="AE62" s="134"/>
      <c r="AF62" s="134"/>
      <c r="AG62" s="134">
        <f>'бюджет округа (района)'!R62+'бюджеты поселений'!R62</f>
        <v>0</v>
      </c>
      <c r="AH62" s="137">
        <f>'бюджет округа (района)'!R62</f>
        <v>0</v>
      </c>
      <c r="AI62" s="134"/>
      <c r="AJ62" s="134"/>
      <c r="AK62" s="134">
        <f>'бюджет округа (района)'!T62+'бюджеты поселений'!T62</f>
        <v>0</v>
      </c>
      <c r="AL62" s="137">
        <f>'бюджет округа (района)'!T62</f>
        <v>0</v>
      </c>
      <c r="AM62" s="134"/>
      <c r="AN62" s="134"/>
      <c r="AO62" s="134">
        <f>'бюджет округа (района)'!V62+'бюджеты поселений'!V62</f>
        <v>0</v>
      </c>
      <c r="AP62" s="137">
        <f>'бюджет округа (района)'!V62</f>
        <v>0</v>
      </c>
      <c r="AQ62" s="134"/>
      <c r="AR62" s="134"/>
      <c r="AS62" s="134">
        <f>'бюджет округа (района)'!X62+'бюджеты поселений'!X62</f>
        <v>0</v>
      </c>
      <c r="AT62" s="137">
        <f>'бюджет округа (района)'!X62</f>
        <v>0</v>
      </c>
      <c r="AU62" s="134"/>
      <c r="AV62" s="134"/>
      <c r="AW62" s="134">
        <f>'бюджет округа (района)'!Z62+'бюджеты поселений'!Z62</f>
        <v>0</v>
      </c>
      <c r="AX62" s="137">
        <f>'бюджет округа (района)'!Z62</f>
        <v>0</v>
      </c>
      <c r="AY62" s="134">
        <f>'бюджет округа (района)'!AA62+'бюджеты поселений'!AA62</f>
        <v>0</v>
      </c>
      <c r="AZ62" s="137">
        <f>'бюджет округа (района)'!AA62</f>
        <v>0</v>
      </c>
      <c r="BA62" s="135">
        <f t="shared" si="355"/>
        <v>1</v>
      </c>
      <c r="BB62" s="135">
        <f t="shared" si="355"/>
        <v>1</v>
      </c>
      <c r="BC62" s="134">
        <f>'бюджет округа (района)'!AC62+'бюджеты поселений'!AC62</f>
        <v>0</v>
      </c>
      <c r="BD62" s="137">
        <f>'бюджет округа (района)'!AC62</f>
        <v>0</v>
      </c>
      <c r="BE62" s="134">
        <f>'бюджет округа (района)'!AD62+'бюджеты поселений'!AD62</f>
        <v>0</v>
      </c>
      <c r="BF62" s="137">
        <f>'бюджет округа (района)'!AD62</f>
        <v>0</v>
      </c>
      <c r="BG62" s="134">
        <f t="shared" si="302"/>
        <v>0</v>
      </c>
      <c r="BH62" s="134">
        <f t="shared" si="302"/>
        <v>0</v>
      </c>
      <c r="BI62" s="135">
        <f t="shared" si="272"/>
        <v>1</v>
      </c>
      <c r="BJ62" s="135">
        <f t="shared" si="272"/>
        <v>1</v>
      </c>
      <c r="BK62" s="134">
        <f>'бюджет округа (района)'!AG62+'бюджеты поселений'!AG62</f>
        <v>0</v>
      </c>
      <c r="BL62" s="137">
        <f>'бюджет округа (района)'!AG62</f>
        <v>0</v>
      </c>
      <c r="BM62" s="134"/>
      <c r="BN62" s="134"/>
      <c r="BO62" s="135">
        <f t="shared" si="273"/>
        <v>1</v>
      </c>
      <c r="BP62" s="135">
        <f t="shared" si="273"/>
        <v>1</v>
      </c>
      <c r="BQ62" s="134">
        <f>'бюджет округа (района)'!AJ62+'бюджеты поселений'!AJ62</f>
        <v>0</v>
      </c>
      <c r="BR62" s="137">
        <f>'бюджет округа (района)'!AJ62</f>
        <v>0</v>
      </c>
      <c r="BS62" s="134"/>
      <c r="BT62" s="134"/>
      <c r="BU62" s="135">
        <f t="shared" si="274"/>
        <v>1</v>
      </c>
      <c r="BV62" s="135">
        <f t="shared" si="274"/>
        <v>1</v>
      </c>
      <c r="BW62" s="134">
        <f>'бюджет округа (района)'!AM62+'бюджеты поселений'!AM62</f>
        <v>0</v>
      </c>
      <c r="BX62" s="137">
        <f>'бюджет округа (района)'!AM62</f>
        <v>0</v>
      </c>
      <c r="BY62" s="134"/>
      <c r="BZ62" s="134"/>
      <c r="CA62" s="135">
        <f t="shared" si="275"/>
        <v>1</v>
      </c>
      <c r="CB62" s="135">
        <f t="shared" si="275"/>
        <v>1</v>
      </c>
      <c r="CC62" s="134">
        <f>'бюджет округа (района)'!AP62+'бюджеты поселений'!AP62</f>
        <v>0</v>
      </c>
      <c r="CD62" s="137">
        <f>'бюджет округа (района)'!AP62</f>
        <v>0</v>
      </c>
      <c r="CE62" s="134"/>
      <c r="CF62" s="134"/>
      <c r="CG62" s="135">
        <f t="shared" si="276"/>
        <v>1</v>
      </c>
      <c r="CH62" s="135">
        <f t="shared" si="276"/>
        <v>1</v>
      </c>
      <c r="CI62" s="134">
        <f>'бюджет округа (района)'!AS62+'бюджеты поселений'!AS62</f>
        <v>0</v>
      </c>
      <c r="CJ62" s="137">
        <f>'бюджет округа (района)'!AS62</f>
        <v>0</v>
      </c>
      <c r="CK62" s="134"/>
      <c r="CL62" s="134"/>
      <c r="CM62" s="135">
        <f t="shared" si="277"/>
        <v>1</v>
      </c>
      <c r="CN62" s="135">
        <f t="shared" si="277"/>
        <v>1</v>
      </c>
      <c r="CO62" s="134">
        <f>'бюджет округа (района)'!AV62+'бюджеты поселений'!AV62</f>
        <v>0</v>
      </c>
      <c r="CP62" s="137">
        <f>'бюджет округа (района)'!AV62</f>
        <v>0</v>
      </c>
      <c r="CQ62" s="134"/>
      <c r="CR62" s="134"/>
      <c r="CS62" s="135">
        <f t="shared" si="278"/>
        <v>1</v>
      </c>
      <c r="CT62" s="135">
        <f t="shared" si="278"/>
        <v>1</v>
      </c>
      <c r="CU62" s="134">
        <f>'бюджет округа (района)'!AY62+'бюджеты поселений'!AY62</f>
        <v>0</v>
      </c>
      <c r="CV62" s="137">
        <f>'бюджет округа (района)'!AY62</f>
        <v>0</v>
      </c>
      <c r="CW62" s="134"/>
      <c r="CX62" s="134"/>
      <c r="CY62" s="135">
        <f t="shared" si="279"/>
        <v>1</v>
      </c>
      <c r="CZ62" s="135">
        <f t="shared" si="279"/>
        <v>1</v>
      </c>
      <c r="DA62" s="134">
        <f>'бюджет округа (района)'!BB62+'бюджеты поселений'!BB62</f>
        <v>0</v>
      </c>
      <c r="DB62" s="137">
        <f>'бюджет округа (района)'!BB62</f>
        <v>0</v>
      </c>
      <c r="DC62" s="134"/>
      <c r="DD62" s="134"/>
      <c r="DE62" s="135">
        <f t="shared" si="280"/>
        <v>1</v>
      </c>
      <c r="DF62" s="135">
        <f t="shared" si="280"/>
        <v>1</v>
      </c>
      <c r="DG62" s="134">
        <f>'бюджет округа (района)'!BE62+'бюджеты поселений'!BE62</f>
        <v>0</v>
      </c>
      <c r="DH62" s="137">
        <f>'бюджет округа (района)'!BE62</f>
        <v>0</v>
      </c>
      <c r="DI62" s="134"/>
      <c r="DJ62" s="134"/>
      <c r="DK62" s="135">
        <f t="shared" si="281"/>
        <v>1</v>
      </c>
      <c r="DL62" s="135">
        <f t="shared" si="281"/>
        <v>1</v>
      </c>
      <c r="DM62" s="134">
        <f>'бюджет округа (района)'!BH62+'бюджеты поселений'!BH62</f>
        <v>0</v>
      </c>
      <c r="DN62" s="137">
        <f>'бюджет округа (района)'!BH62</f>
        <v>0</v>
      </c>
      <c r="DO62" s="134">
        <f>'бюджет округа (района)'!BI62+'бюджеты поселений'!BI62</f>
        <v>0</v>
      </c>
      <c r="DP62" s="137">
        <f>'бюджет округа (района)'!BI62</f>
        <v>0</v>
      </c>
      <c r="DQ62" s="134">
        <f>'бюджет округа (района)'!BJ62+'бюджеты поселений'!BJ62</f>
        <v>0</v>
      </c>
      <c r="DR62" s="137">
        <f>'бюджет округа (района)'!BJ62</f>
        <v>0</v>
      </c>
      <c r="DS62" s="135">
        <f>IF($AY$62=0,1,DQ62/$AY$62-1)</f>
        <v>1</v>
      </c>
      <c r="DT62" s="135">
        <f>IF($AZ$62=0,1,DR62/$AZ$62-1)</f>
        <v>1</v>
      </c>
      <c r="DU62" s="135">
        <f t="shared" si="58"/>
        <v>1</v>
      </c>
      <c r="DV62" s="135">
        <f t="shared" si="59"/>
        <v>1</v>
      </c>
      <c r="DW62" s="167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64" customFormat="1" ht="18.75" customHeight="1">
      <c r="A63" s="228" t="s">
        <v>133</v>
      </c>
      <c r="B63" s="229"/>
      <c r="C63" s="134">
        <f>'бюджет округа (района)'!C63+'бюджеты поселений'!C63</f>
        <v>0</v>
      </c>
      <c r="D63" s="137">
        <f>'бюджет округа (района)'!C63</f>
        <v>0</v>
      </c>
      <c r="E63" s="134">
        <f t="shared" si="336"/>
        <v>0</v>
      </c>
      <c r="F63" s="137">
        <f t="shared" si="336"/>
        <v>0</v>
      </c>
      <c r="G63" s="134">
        <f>'бюджет округа (района)'!E63+'бюджеты поселений'!E63</f>
        <v>0</v>
      </c>
      <c r="H63" s="137">
        <f>'бюджет округа (района)'!E63</f>
        <v>0</v>
      </c>
      <c r="I63" s="134">
        <f>'бюджет округа (района)'!F63+'бюджеты поселений'!F63</f>
        <v>0</v>
      </c>
      <c r="J63" s="137">
        <f>'бюджет округа (района)'!F63</f>
        <v>0</v>
      </c>
      <c r="K63" s="134">
        <f t="shared" ref="K63:L73" si="356">G63+I63</f>
        <v>0</v>
      </c>
      <c r="L63" s="134">
        <f t="shared" si="356"/>
        <v>0</v>
      </c>
      <c r="M63" s="134">
        <f>'бюджет округа (района)'!H63+'бюджеты поселений'!H63</f>
        <v>0</v>
      </c>
      <c r="N63" s="137">
        <f>'бюджет округа (района)'!H63</f>
        <v>0</v>
      </c>
      <c r="O63" s="134"/>
      <c r="P63" s="134"/>
      <c r="Q63" s="134">
        <f>'бюджет округа (района)'!J63+'бюджеты поселений'!J63</f>
        <v>0</v>
      </c>
      <c r="R63" s="137">
        <f>'бюджет округа (района)'!J63</f>
        <v>0</v>
      </c>
      <c r="S63" s="134"/>
      <c r="T63" s="134"/>
      <c r="U63" s="134">
        <f>'бюджет округа (района)'!L63+'бюджеты поселений'!L63</f>
        <v>0</v>
      </c>
      <c r="V63" s="137">
        <f>'бюджет округа (района)'!L63</f>
        <v>0</v>
      </c>
      <c r="W63" s="134"/>
      <c r="X63" s="134"/>
      <c r="Y63" s="134">
        <f>'бюджет округа (района)'!N63+'бюджеты поселений'!N63</f>
        <v>0</v>
      </c>
      <c r="Z63" s="137">
        <f>'бюджет округа (района)'!N63</f>
        <v>0</v>
      </c>
      <c r="AA63" s="134"/>
      <c r="AB63" s="134"/>
      <c r="AC63" s="134">
        <f>'бюджет округа (района)'!P63+'бюджеты поселений'!P63</f>
        <v>0</v>
      </c>
      <c r="AD63" s="137">
        <f>'бюджет округа (района)'!P63</f>
        <v>0</v>
      </c>
      <c r="AE63" s="134"/>
      <c r="AF63" s="134"/>
      <c r="AG63" s="134">
        <f>'бюджет округа (района)'!R63+'бюджеты поселений'!R63</f>
        <v>0</v>
      </c>
      <c r="AH63" s="137">
        <f>'бюджет округа (района)'!R63</f>
        <v>0</v>
      </c>
      <c r="AI63" s="134"/>
      <c r="AJ63" s="134"/>
      <c r="AK63" s="134">
        <f>'бюджет округа (района)'!T63+'бюджеты поселений'!T63</f>
        <v>0</v>
      </c>
      <c r="AL63" s="137">
        <f>'бюджет округа (района)'!T63</f>
        <v>0</v>
      </c>
      <c r="AM63" s="134"/>
      <c r="AN63" s="134"/>
      <c r="AO63" s="134">
        <f>'бюджет округа (района)'!V63+'бюджеты поселений'!V63</f>
        <v>0</v>
      </c>
      <c r="AP63" s="137">
        <f>'бюджет округа (района)'!V63</f>
        <v>0</v>
      </c>
      <c r="AQ63" s="134"/>
      <c r="AR63" s="134"/>
      <c r="AS63" s="134">
        <f>'бюджет округа (района)'!X63+'бюджеты поселений'!X63</f>
        <v>0</v>
      </c>
      <c r="AT63" s="137">
        <f>'бюджет округа (района)'!X63</f>
        <v>0</v>
      </c>
      <c r="AU63" s="134"/>
      <c r="AV63" s="134"/>
      <c r="AW63" s="134">
        <f>'бюджет округа (района)'!Z63+'бюджеты поселений'!Z63</f>
        <v>0</v>
      </c>
      <c r="AX63" s="137">
        <f>'бюджет округа (района)'!Z63</f>
        <v>0</v>
      </c>
      <c r="AY63" s="134">
        <f>'бюджет округа (района)'!AA63+'бюджеты поселений'!AA63</f>
        <v>0</v>
      </c>
      <c r="AZ63" s="137">
        <f>'бюджет округа (района)'!AA63</f>
        <v>0</v>
      </c>
      <c r="BA63" s="135">
        <f t="shared" si="355"/>
        <v>1</v>
      </c>
      <c r="BB63" s="135">
        <f t="shared" si="355"/>
        <v>1</v>
      </c>
      <c r="BC63" s="134">
        <f>'бюджет округа (района)'!AC63+'бюджеты поселений'!AC63</f>
        <v>0</v>
      </c>
      <c r="BD63" s="137">
        <f>'бюджет округа (района)'!AC63</f>
        <v>0</v>
      </c>
      <c r="BE63" s="134">
        <f>'бюджет округа (района)'!AD63+'бюджеты поселений'!AD63</f>
        <v>0</v>
      </c>
      <c r="BF63" s="137">
        <f>'бюджет округа (района)'!AD63</f>
        <v>0</v>
      </c>
      <c r="BG63" s="134">
        <f t="shared" ref="BG63:BH73" si="357">BC63+BE63</f>
        <v>0</v>
      </c>
      <c r="BH63" s="134">
        <f t="shared" si="357"/>
        <v>0</v>
      </c>
      <c r="BI63" s="135">
        <f t="shared" ref="BI63:BJ73" si="358">IF(K63=0,1,BG63/K63-1)</f>
        <v>1</v>
      </c>
      <c r="BJ63" s="135">
        <f t="shared" si="358"/>
        <v>1</v>
      </c>
      <c r="BK63" s="134">
        <f>'бюджет округа (района)'!AG63+'бюджеты поселений'!AG63</f>
        <v>0</v>
      </c>
      <c r="BL63" s="137">
        <f>'бюджет округа (района)'!AG63</f>
        <v>0</v>
      </c>
      <c r="BM63" s="134"/>
      <c r="BN63" s="134"/>
      <c r="BO63" s="135">
        <f t="shared" ref="BO63:BP73" si="359">IF(O63=0,1,BM63/O63-1)</f>
        <v>1</v>
      </c>
      <c r="BP63" s="135">
        <f t="shared" si="359"/>
        <v>1</v>
      </c>
      <c r="BQ63" s="134">
        <f>'бюджет округа (района)'!AJ63+'бюджеты поселений'!AJ63</f>
        <v>0</v>
      </c>
      <c r="BR63" s="137">
        <f>'бюджет округа (района)'!AJ63</f>
        <v>0</v>
      </c>
      <c r="BS63" s="134"/>
      <c r="BT63" s="134"/>
      <c r="BU63" s="135">
        <f t="shared" ref="BU63:BV73" si="360">IF(S63=0,1,BS63/S63-1)</f>
        <v>1</v>
      </c>
      <c r="BV63" s="135">
        <f t="shared" si="360"/>
        <v>1</v>
      </c>
      <c r="BW63" s="134">
        <f>'бюджет округа (района)'!AM63+'бюджеты поселений'!AM63</f>
        <v>0</v>
      </c>
      <c r="BX63" s="137">
        <f>'бюджет округа (района)'!AM63</f>
        <v>0</v>
      </c>
      <c r="BY63" s="134"/>
      <c r="BZ63" s="134"/>
      <c r="CA63" s="135">
        <f t="shared" ref="CA63:CB73" si="361">IF(W63=0,1,BY63/W63-1)</f>
        <v>1</v>
      </c>
      <c r="CB63" s="135">
        <f t="shared" si="361"/>
        <v>1</v>
      </c>
      <c r="CC63" s="134">
        <f>'бюджет округа (района)'!AP63+'бюджеты поселений'!AP63</f>
        <v>0</v>
      </c>
      <c r="CD63" s="137">
        <f>'бюджет округа (района)'!AP63</f>
        <v>0</v>
      </c>
      <c r="CE63" s="134"/>
      <c r="CF63" s="134"/>
      <c r="CG63" s="135">
        <f t="shared" ref="CG63:CH73" si="362">IF(AA63=0,1,CE63/AA63-1)</f>
        <v>1</v>
      </c>
      <c r="CH63" s="135">
        <f t="shared" si="362"/>
        <v>1</v>
      </c>
      <c r="CI63" s="134">
        <f>'бюджет округа (района)'!AS63+'бюджеты поселений'!AS63</f>
        <v>0</v>
      </c>
      <c r="CJ63" s="137">
        <f>'бюджет округа (района)'!AS63</f>
        <v>0</v>
      </c>
      <c r="CK63" s="134"/>
      <c r="CL63" s="134"/>
      <c r="CM63" s="135">
        <f t="shared" ref="CM63:CN73" si="363">IF(AE63=0,1,CK63/AE63-1)</f>
        <v>1</v>
      </c>
      <c r="CN63" s="135">
        <f t="shared" si="363"/>
        <v>1</v>
      </c>
      <c r="CO63" s="134">
        <f>'бюджет округа (района)'!AV63+'бюджеты поселений'!AV63</f>
        <v>0</v>
      </c>
      <c r="CP63" s="137">
        <f>'бюджет округа (района)'!AV63</f>
        <v>0</v>
      </c>
      <c r="CQ63" s="134"/>
      <c r="CR63" s="134"/>
      <c r="CS63" s="135">
        <f t="shared" ref="CS63:CT73" si="364">IF(AI63=0,1,CQ63/AI63-1)</f>
        <v>1</v>
      </c>
      <c r="CT63" s="135">
        <f t="shared" si="364"/>
        <v>1</v>
      </c>
      <c r="CU63" s="134">
        <f>'бюджет округа (района)'!AY63+'бюджеты поселений'!AY63</f>
        <v>0</v>
      </c>
      <c r="CV63" s="137">
        <f>'бюджет округа (района)'!AY63</f>
        <v>0</v>
      </c>
      <c r="CW63" s="134"/>
      <c r="CX63" s="134"/>
      <c r="CY63" s="135">
        <f t="shared" ref="CY63:CZ73" si="365">IF(AM63=0,1,CW63/AM63-1)</f>
        <v>1</v>
      </c>
      <c r="CZ63" s="135">
        <f t="shared" si="365"/>
        <v>1</v>
      </c>
      <c r="DA63" s="134">
        <f>'бюджет округа (района)'!BB63+'бюджеты поселений'!BB63</f>
        <v>0</v>
      </c>
      <c r="DB63" s="137">
        <f>'бюджет округа (района)'!BB63</f>
        <v>0</v>
      </c>
      <c r="DC63" s="134"/>
      <c r="DD63" s="134"/>
      <c r="DE63" s="135">
        <f t="shared" ref="DE63:DF73" si="366">IF(AQ63=0,1,DC63/AQ63-1)</f>
        <v>1</v>
      </c>
      <c r="DF63" s="135">
        <f t="shared" si="366"/>
        <v>1</v>
      </c>
      <c r="DG63" s="134">
        <f>'бюджет округа (района)'!BE63+'бюджеты поселений'!BE63</f>
        <v>0</v>
      </c>
      <c r="DH63" s="137">
        <f>'бюджет округа (района)'!BE63</f>
        <v>0</v>
      </c>
      <c r="DI63" s="134"/>
      <c r="DJ63" s="134"/>
      <c r="DK63" s="135">
        <f t="shared" ref="DK63:DL73" si="367">IF(AU63=0,1,DI63/AU63-1)</f>
        <v>1</v>
      </c>
      <c r="DL63" s="135">
        <f t="shared" si="367"/>
        <v>1</v>
      </c>
      <c r="DM63" s="134">
        <f>'бюджет округа (района)'!BH63+'бюджеты поселений'!BH63</f>
        <v>0</v>
      </c>
      <c r="DN63" s="137">
        <f>'бюджет округа (района)'!BH63</f>
        <v>0</v>
      </c>
      <c r="DO63" s="134">
        <f>'бюджет округа (района)'!BI63+'бюджеты поселений'!BI63</f>
        <v>0</v>
      </c>
      <c r="DP63" s="137">
        <f>'бюджет округа (района)'!BI63</f>
        <v>0</v>
      </c>
      <c r="DQ63" s="134">
        <f>'бюджет округа (района)'!BJ63+'бюджеты поселений'!BJ63</f>
        <v>0</v>
      </c>
      <c r="DR63" s="137">
        <f>'бюджет округа (района)'!BJ63</f>
        <v>0</v>
      </c>
      <c r="DS63" s="135">
        <f>IF($AY$63=0,1,DQ63/$AY$63-1)</f>
        <v>1</v>
      </c>
      <c r="DT63" s="135">
        <f>IF($AZ$63=0,1,DR63/$AZ$63-1)</f>
        <v>1</v>
      </c>
      <c r="DU63" s="135">
        <f t="shared" si="58"/>
        <v>1</v>
      </c>
      <c r="DV63" s="135">
        <f t="shared" si="59"/>
        <v>1</v>
      </c>
      <c r="DW63" s="167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</row>
    <row r="64" spans="1:268" s="64" customFormat="1" ht="18.75" hidden="1" customHeight="1">
      <c r="A64" s="33"/>
      <c r="B64" s="174"/>
      <c r="C64" s="134">
        <f>'бюджет округа (района)'!C64+'бюджеты поселений'!C64</f>
        <v>0</v>
      </c>
      <c r="D64" s="137">
        <f>'бюджет округа (района)'!C64</f>
        <v>0</v>
      </c>
      <c r="E64" s="134">
        <f t="shared" si="336"/>
        <v>0</v>
      </c>
      <c r="F64" s="137">
        <f t="shared" si="336"/>
        <v>0</v>
      </c>
      <c r="G64" s="134">
        <f>'бюджет округа (района)'!E64+'бюджеты поселений'!E64</f>
        <v>0</v>
      </c>
      <c r="H64" s="137">
        <f>'бюджет округа (района)'!E64</f>
        <v>0</v>
      </c>
      <c r="I64" s="134">
        <f>'бюджет округа (района)'!F64+'бюджеты поселений'!F64</f>
        <v>0</v>
      </c>
      <c r="J64" s="137">
        <f>'бюджет округа (района)'!F64</f>
        <v>0</v>
      </c>
      <c r="K64" s="134">
        <f t="shared" si="356"/>
        <v>0</v>
      </c>
      <c r="L64" s="134">
        <f t="shared" si="356"/>
        <v>0</v>
      </c>
      <c r="M64" s="134">
        <f>'бюджет округа (района)'!H64+'бюджеты поселений'!H64</f>
        <v>0</v>
      </c>
      <c r="N64" s="137">
        <f>'бюджет округа (района)'!H64</f>
        <v>0</v>
      </c>
      <c r="O64" s="134"/>
      <c r="P64" s="134"/>
      <c r="Q64" s="134">
        <f>'бюджет округа (района)'!J64+'бюджеты поселений'!J64</f>
        <v>0</v>
      </c>
      <c r="R64" s="137">
        <f>'бюджет округа (района)'!J64</f>
        <v>0</v>
      </c>
      <c r="S64" s="134"/>
      <c r="T64" s="134"/>
      <c r="U64" s="134">
        <f>'бюджет округа (района)'!L64+'бюджеты поселений'!L64</f>
        <v>0</v>
      </c>
      <c r="V64" s="137">
        <f>'бюджет округа (района)'!L64</f>
        <v>0</v>
      </c>
      <c r="W64" s="134"/>
      <c r="X64" s="134"/>
      <c r="Y64" s="134">
        <f>'бюджет округа (района)'!N64+'бюджеты поселений'!N64</f>
        <v>0</v>
      </c>
      <c r="Z64" s="137">
        <f>'бюджет округа (района)'!N64</f>
        <v>0</v>
      </c>
      <c r="AA64" s="134"/>
      <c r="AB64" s="134"/>
      <c r="AC64" s="134">
        <f>'бюджет округа (района)'!P64+'бюджеты поселений'!P64</f>
        <v>0</v>
      </c>
      <c r="AD64" s="137">
        <f>'бюджет округа (района)'!P64</f>
        <v>0</v>
      </c>
      <c r="AE64" s="134"/>
      <c r="AF64" s="134"/>
      <c r="AG64" s="134">
        <f>'бюджет округа (района)'!R64+'бюджеты поселений'!R64</f>
        <v>0</v>
      </c>
      <c r="AH64" s="137">
        <f>'бюджет округа (района)'!R64</f>
        <v>0</v>
      </c>
      <c r="AI64" s="134"/>
      <c r="AJ64" s="134"/>
      <c r="AK64" s="134">
        <f>'бюджет округа (района)'!T64+'бюджеты поселений'!T64</f>
        <v>0</v>
      </c>
      <c r="AL64" s="137">
        <f>'бюджет округа (района)'!T64</f>
        <v>0</v>
      </c>
      <c r="AM64" s="134"/>
      <c r="AN64" s="134"/>
      <c r="AO64" s="134">
        <f>'бюджет округа (района)'!V64+'бюджеты поселений'!V64</f>
        <v>0</v>
      </c>
      <c r="AP64" s="137">
        <f>'бюджет округа (района)'!V64</f>
        <v>0</v>
      </c>
      <c r="AQ64" s="134"/>
      <c r="AR64" s="134"/>
      <c r="AS64" s="134">
        <f>'бюджет округа (района)'!X64+'бюджеты поселений'!X64</f>
        <v>0</v>
      </c>
      <c r="AT64" s="137">
        <f>'бюджет округа (района)'!X64</f>
        <v>0</v>
      </c>
      <c r="AU64" s="134"/>
      <c r="AV64" s="134"/>
      <c r="AW64" s="134">
        <f>'бюджет округа (района)'!Z64+'бюджеты поселений'!Z64</f>
        <v>0</v>
      </c>
      <c r="AX64" s="137">
        <f>'бюджет округа (района)'!Z64</f>
        <v>0</v>
      </c>
      <c r="AY64" s="134">
        <f>'бюджет округа (района)'!AA64+'бюджеты поселений'!AA64</f>
        <v>0</v>
      </c>
      <c r="AZ64" s="137">
        <f>'бюджет округа (района)'!AA64</f>
        <v>0</v>
      </c>
      <c r="BA64" s="135">
        <f t="shared" si="355"/>
        <v>1</v>
      </c>
      <c r="BB64" s="135">
        <f t="shared" si="355"/>
        <v>1</v>
      </c>
      <c r="BC64" s="134">
        <f>'бюджет округа (района)'!AC64+'бюджеты поселений'!AC64</f>
        <v>0</v>
      </c>
      <c r="BD64" s="137">
        <f>'бюджет округа (района)'!AC64</f>
        <v>0</v>
      </c>
      <c r="BE64" s="134">
        <f>'бюджет округа (района)'!AD64+'бюджеты поселений'!AD64</f>
        <v>0</v>
      </c>
      <c r="BF64" s="137">
        <f>'бюджет округа (района)'!AD64</f>
        <v>0</v>
      </c>
      <c r="BG64" s="134">
        <f t="shared" si="357"/>
        <v>0</v>
      </c>
      <c r="BH64" s="134">
        <f t="shared" si="357"/>
        <v>0</v>
      </c>
      <c r="BI64" s="135">
        <f t="shared" si="358"/>
        <v>1</v>
      </c>
      <c r="BJ64" s="135">
        <f t="shared" si="358"/>
        <v>1</v>
      </c>
      <c r="BK64" s="134">
        <f>'бюджет округа (района)'!AG64+'бюджеты поселений'!AG64</f>
        <v>0</v>
      </c>
      <c r="BL64" s="137">
        <f>'бюджет округа (района)'!AG64</f>
        <v>0</v>
      </c>
      <c r="BM64" s="134"/>
      <c r="BN64" s="134"/>
      <c r="BO64" s="135">
        <f t="shared" si="359"/>
        <v>1</v>
      </c>
      <c r="BP64" s="135">
        <f t="shared" si="359"/>
        <v>1</v>
      </c>
      <c r="BQ64" s="134">
        <f>'бюджет округа (района)'!AJ64+'бюджеты поселений'!AJ64</f>
        <v>0</v>
      </c>
      <c r="BR64" s="137">
        <f>'бюджет округа (района)'!AJ64</f>
        <v>0</v>
      </c>
      <c r="BS64" s="134"/>
      <c r="BT64" s="134"/>
      <c r="BU64" s="135">
        <f t="shared" si="360"/>
        <v>1</v>
      </c>
      <c r="BV64" s="135">
        <f t="shared" si="360"/>
        <v>1</v>
      </c>
      <c r="BW64" s="134">
        <f>'бюджет округа (района)'!AM64+'бюджеты поселений'!AM64</f>
        <v>0</v>
      </c>
      <c r="BX64" s="137">
        <f>'бюджет округа (района)'!AM64</f>
        <v>0</v>
      </c>
      <c r="BY64" s="134"/>
      <c r="BZ64" s="134"/>
      <c r="CA64" s="135">
        <f t="shared" si="361"/>
        <v>1</v>
      </c>
      <c r="CB64" s="135">
        <f t="shared" si="361"/>
        <v>1</v>
      </c>
      <c r="CC64" s="134">
        <f>'бюджет округа (района)'!AP64+'бюджеты поселений'!AP64</f>
        <v>0</v>
      </c>
      <c r="CD64" s="137">
        <f>'бюджет округа (района)'!AP64</f>
        <v>0</v>
      </c>
      <c r="CE64" s="134"/>
      <c r="CF64" s="134"/>
      <c r="CG64" s="135">
        <f t="shared" si="362"/>
        <v>1</v>
      </c>
      <c r="CH64" s="135">
        <f t="shared" si="362"/>
        <v>1</v>
      </c>
      <c r="CI64" s="134">
        <f>'бюджет округа (района)'!AS64+'бюджеты поселений'!AS64</f>
        <v>0</v>
      </c>
      <c r="CJ64" s="137">
        <f>'бюджет округа (района)'!AS64</f>
        <v>0</v>
      </c>
      <c r="CK64" s="134"/>
      <c r="CL64" s="134"/>
      <c r="CM64" s="135">
        <f t="shared" si="363"/>
        <v>1</v>
      </c>
      <c r="CN64" s="135">
        <f t="shared" si="363"/>
        <v>1</v>
      </c>
      <c r="CO64" s="134">
        <f>'бюджет округа (района)'!AV64+'бюджеты поселений'!AV64</f>
        <v>0</v>
      </c>
      <c r="CP64" s="137">
        <f>'бюджет округа (района)'!AV64</f>
        <v>0</v>
      </c>
      <c r="CQ64" s="134"/>
      <c r="CR64" s="134"/>
      <c r="CS64" s="135">
        <f t="shared" si="364"/>
        <v>1</v>
      </c>
      <c r="CT64" s="135">
        <f t="shared" si="364"/>
        <v>1</v>
      </c>
      <c r="CU64" s="134">
        <f>'бюджет округа (района)'!AY64+'бюджеты поселений'!AY64</f>
        <v>0</v>
      </c>
      <c r="CV64" s="137">
        <f>'бюджет округа (района)'!AY64</f>
        <v>0</v>
      </c>
      <c r="CW64" s="134"/>
      <c r="CX64" s="134"/>
      <c r="CY64" s="135">
        <f t="shared" si="365"/>
        <v>1</v>
      </c>
      <c r="CZ64" s="135">
        <f t="shared" si="365"/>
        <v>1</v>
      </c>
      <c r="DA64" s="134">
        <f>'бюджет округа (района)'!BB64+'бюджеты поселений'!BB64</f>
        <v>0</v>
      </c>
      <c r="DB64" s="137">
        <f>'бюджет округа (района)'!BB64</f>
        <v>0</v>
      </c>
      <c r="DC64" s="134"/>
      <c r="DD64" s="134"/>
      <c r="DE64" s="135">
        <f t="shared" si="366"/>
        <v>1</v>
      </c>
      <c r="DF64" s="135">
        <f t="shared" si="366"/>
        <v>1</v>
      </c>
      <c r="DG64" s="134">
        <f>'бюджет округа (района)'!BE64+'бюджеты поселений'!BE64</f>
        <v>0</v>
      </c>
      <c r="DH64" s="137">
        <f>'бюджет округа (района)'!BE64</f>
        <v>0</v>
      </c>
      <c r="DI64" s="134"/>
      <c r="DJ64" s="134"/>
      <c r="DK64" s="135">
        <f t="shared" si="367"/>
        <v>1</v>
      </c>
      <c r="DL64" s="135">
        <f t="shared" si="367"/>
        <v>1</v>
      </c>
      <c r="DM64" s="134">
        <f>'бюджет округа (района)'!BH64+'бюджеты поселений'!BH64</f>
        <v>0</v>
      </c>
      <c r="DN64" s="137">
        <f>'бюджет округа (района)'!BH64</f>
        <v>0</v>
      </c>
      <c r="DO64" s="134">
        <f>'бюджет округа (района)'!BI64+'бюджеты поселений'!BI64</f>
        <v>0</v>
      </c>
      <c r="DP64" s="137">
        <f>'бюджет округа (района)'!BI64</f>
        <v>0</v>
      </c>
      <c r="DQ64" s="134">
        <f>'бюджет округа (района)'!BJ64+'бюджеты поселений'!BJ64</f>
        <v>0</v>
      </c>
      <c r="DR64" s="137">
        <f>'бюджет округа (района)'!BJ64</f>
        <v>0</v>
      </c>
      <c r="DS64" s="135">
        <f t="shared" ref="DS64:DS73" si="368">IF($AY$63=0,1,DQ64/$AY$63-1)</f>
        <v>1</v>
      </c>
      <c r="DT64" s="135">
        <f t="shared" ref="DT64:DT73" si="369">IF($AZ$63=0,1,DR64/$AZ$63-1)</f>
        <v>1</v>
      </c>
      <c r="DU64" s="135">
        <f t="shared" ref="DU64:DV73" si="370">IF($E$63=0,1,DQ64/$E$63-1)</f>
        <v>1</v>
      </c>
      <c r="DV64" s="135">
        <f t="shared" si="370"/>
        <v>1</v>
      </c>
      <c r="DW64" s="167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</row>
    <row r="65" spans="1:268" s="64" customFormat="1" ht="18.75" hidden="1" customHeight="1">
      <c r="A65" s="33"/>
      <c r="B65" s="174"/>
      <c r="C65" s="134">
        <f>'бюджет округа (района)'!C65+'бюджеты поселений'!C65</f>
        <v>0</v>
      </c>
      <c r="D65" s="137">
        <f>'бюджет округа (района)'!C65</f>
        <v>0</v>
      </c>
      <c r="E65" s="134">
        <f t="shared" si="336"/>
        <v>0</v>
      </c>
      <c r="F65" s="137">
        <f t="shared" si="336"/>
        <v>0</v>
      </c>
      <c r="G65" s="134">
        <f>'бюджет округа (района)'!E65+'бюджеты поселений'!E65</f>
        <v>0</v>
      </c>
      <c r="H65" s="137">
        <f>'бюджет округа (района)'!E65</f>
        <v>0</v>
      </c>
      <c r="I65" s="134">
        <f>'бюджет округа (района)'!F65+'бюджеты поселений'!F65</f>
        <v>0</v>
      </c>
      <c r="J65" s="137">
        <f>'бюджет округа (района)'!F65</f>
        <v>0</v>
      </c>
      <c r="K65" s="134">
        <f t="shared" si="356"/>
        <v>0</v>
      </c>
      <c r="L65" s="134">
        <f t="shared" si="356"/>
        <v>0</v>
      </c>
      <c r="M65" s="134">
        <f>'бюджет округа (района)'!H65+'бюджеты поселений'!H65</f>
        <v>0</v>
      </c>
      <c r="N65" s="137">
        <f>'бюджет округа (района)'!H65</f>
        <v>0</v>
      </c>
      <c r="O65" s="134"/>
      <c r="P65" s="134"/>
      <c r="Q65" s="134">
        <f>'бюджет округа (района)'!J65+'бюджеты поселений'!J65</f>
        <v>0</v>
      </c>
      <c r="R65" s="137">
        <f>'бюджет округа (района)'!J65</f>
        <v>0</v>
      </c>
      <c r="S65" s="134"/>
      <c r="T65" s="134"/>
      <c r="U65" s="134">
        <f>'бюджет округа (района)'!L65+'бюджеты поселений'!L65</f>
        <v>0</v>
      </c>
      <c r="V65" s="137">
        <f>'бюджет округа (района)'!L65</f>
        <v>0</v>
      </c>
      <c r="W65" s="134"/>
      <c r="X65" s="134"/>
      <c r="Y65" s="134">
        <f>'бюджет округа (района)'!N65+'бюджеты поселений'!N65</f>
        <v>0</v>
      </c>
      <c r="Z65" s="137">
        <f>'бюджет округа (района)'!N65</f>
        <v>0</v>
      </c>
      <c r="AA65" s="134"/>
      <c r="AB65" s="134"/>
      <c r="AC65" s="134">
        <f>'бюджет округа (района)'!P65+'бюджеты поселений'!P65</f>
        <v>0</v>
      </c>
      <c r="AD65" s="137">
        <f>'бюджет округа (района)'!P65</f>
        <v>0</v>
      </c>
      <c r="AE65" s="134"/>
      <c r="AF65" s="134"/>
      <c r="AG65" s="134">
        <f>'бюджет округа (района)'!R65+'бюджеты поселений'!R65</f>
        <v>0</v>
      </c>
      <c r="AH65" s="137">
        <f>'бюджет округа (района)'!R65</f>
        <v>0</v>
      </c>
      <c r="AI65" s="134"/>
      <c r="AJ65" s="134"/>
      <c r="AK65" s="134">
        <f>'бюджет округа (района)'!T65+'бюджеты поселений'!T65</f>
        <v>0</v>
      </c>
      <c r="AL65" s="137">
        <f>'бюджет округа (района)'!T65</f>
        <v>0</v>
      </c>
      <c r="AM65" s="134"/>
      <c r="AN65" s="134"/>
      <c r="AO65" s="134">
        <f>'бюджет округа (района)'!V65+'бюджеты поселений'!V65</f>
        <v>0</v>
      </c>
      <c r="AP65" s="137">
        <f>'бюджет округа (района)'!V65</f>
        <v>0</v>
      </c>
      <c r="AQ65" s="134"/>
      <c r="AR65" s="134"/>
      <c r="AS65" s="134">
        <f>'бюджет округа (района)'!X65+'бюджеты поселений'!X65</f>
        <v>0</v>
      </c>
      <c r="AT65" s="137">
        <f>'бюджет округа (района)'!X65</f>
        <v>0</v>
      </c>
      <c r="AU65" s="134"/>
      <c r="AV65" s="134"/>
      <c r="AW65" s="134">
        <f>'бюджет округа (района)'!Z65+'бюджеты поселений'!Z65</f>
        <v>0</v>
      </c>
      <c r="AX65" s="137">
        <f>'бюджет округа (района)'!Z65</f>
        <v>0</v>
      </c>
      <c r="AY65" s="134">
        <f>'бюджет округа (района)'!AA65+'бюджеты поселений'!AA65</f>
        <v>0</v>
      </c>
      <c r="AZ65" s="137">
        <f>'бюджет округа (района)'!AA65</f>
        <v>0</v>
      </c>
      <c r="BA65" s="135">
        <f t="shared" si="355"/>
        <v>1</v>
      </c>
      <c r="BB65" s="135">
        <f t="shared" si="355"/>
        <v>1</v>
      </c>
      <c r="BC65" s="134">
        <f>'бюджет округа (района)'!AC65+'бюджеты поселений'!AC65</f>
        <v>0</v>
      </c>
      <c r="BD65" s="137">
        <f>'бюджет округа (района)'!AC65</f>
        <v>0</v>
      </c>
      <c r="BE65" s="134">
        <f>'бюджет округа (района)'!AD65+'бюджеты поселений'!AD65</f>
        <v>0</v>
      </c>
      <c r="BF65" s="137">
        <f>'бюджет округа (района)'!AD65</f>
        <v>0</v>
      </c>
      <c r="BG65" s="134">
        <f t="shared" si="357"/>
        <v>0</v>
      </c>
      <c r="BH65" s="134">
        <f t="shared" si="357"/>
        <v>0</v>
      </c>
      <c r="BI65" s="135">
        <f t="shared" si="358"/>
        <v>1</v>
      </c>
      <c r="BJ65" s="135">
        <f t="shared" si="358"/>
        <v>1</v>
      </c>
      <c r="BK65" s="134">
        <f>'бюджет округа (района)'!AG65+'бюджеты поселений'!AG65</f>
        <v>0</v>
      </c>
      <c r="BL65" s="137">
        <f>'бюджет округа (района)'!AG65</f>
        <v>0</v>
      </c>
      <c r="BM65" s="134"/>
      <c r="BN65" s="134"/>
      <c r="BO65" s="135">
        <f t="shared" si="359"/>
        <v>1</v>
      </c>
      <c r="BP65" s="135">
        <f t="shared" si="359"/>
        <v>1</v>
      </c>
      <c r="BQ65" s="134">
        <f>'бюджет округа (района)'!AJ65+'бюджеты поселений'!AJ65</f>
        <v>0</v>
      </c>
      <c r="BR65" s="137">
        <f>'бюджет округа (района)'!AJ65</f>
        <v>0</v>
      </c>
      <c r="BS65" s="134"/>
      <c r="BT65" s="134"/>
      <c r="BU65" s="135">
        <f t="shared" si="360"/>
        <v>1</v>
      </c>
      <c r="BV65" s="135">
        <f t="shared" si="360"/>
        <v>1</v>
      </c>
      <c r="BW65" s="134">
        <f>'бюджет округа (района)'!AM65+'бюджеты поселений'!AM65</f>
        <v>0</v>
      </c>
      <c r="BX65" s="137">
        <f>'бюджет округа (района)'!AM65</f>
        <v>0</v>
      </c>
      <c r="BY65" s="134"/>
      <c r="BZ65" s="134"/>
      <c r="CA65" s="135">
        <f t="shared" si="361"/>
        <v>1</v>
      </c>
      <c r="CB65" s="135">
        <f t="shared" si="361"/>
        <v>1</v>
      </c>
      <c r="CC65" s="134">
        <f>'бюджет округа (района)'!AP65+'бюджеты поселений'!AP65</f>
        <v>0</v>
      </c>
      <c r="CD65" s="137">
        <f>'бюджет округа (района)'!AP65</f>
        <v>0</v>
      </c>
      <c r="CE65" s="134"/>
      <c r="CF65" s="134"/>
      <c r="CG65" s="135">
        <f t="shared" si="362"/>
        <v>1</v>
      </c>
      <c r="CH65" s="135">
        <f t="shared" si="362"/>
        <v>1</v>
      </c>
      <c r="CI65" s="134">
        <f>'бюджет округа (района)'!AS65+'бюджеты поселений'!AS65</f>
        <v>0</v>
      </c>
      <c r="CJ65" s="137">
        <f>'бюджет округа (района)'!AS65</f>
        <v>0</v>
      </c>
      <c r="CK65" s="134"/>
      <c r="CL65" s="134"/>
      <c r="CM65" s="135">
        <f t="shared" si="363"/>
        <v>1</v>
      </c>
      <c r="CN65" s="135">
        <f t="shared" si="363"/>
        <v>1</v>
      </c>
      <c r="CO65" s="134">
        <f>'бюджет округа (района)'!AV65+'бюджеты поселений'!AV65</f>
        <v>0</v>
      </c>
      <c r="CP65" s="137">
        <f>'бюджет округа (района)'!AV65</f>
        <v>0</v>
      </c>
      <c r="CQ65" s="134"/>
      <c r="CR65" s="134"/>
      <c r="CS65" s="135">
        <f t="shared" si="364"/>
        <v>1</v>
      </c>
      <c r="CT65" s="135">
        <f t="shared" si="364"/>
        <v>1</v>
      </c>
      <c r="CU65" s="134">
        <f>'бюджет округа (района)'!AY65+'бюджеты поселений'!AY65</f>
        <v>0</v>
      </c>
      <c r="CV65" s="137">
        <f>'бюджет округа (района)'!AY65</f>
        <v>0</v>
      </c>
      <c r="CW65" s="134"/>
      <c r="CX65" s="134"/>
      <c r="CY65" s="135">
        <f t="shared" si="365"/>
        <v>1</v>
      </c>
      <c r="CZ65" s="135">
        <f t="shared" si="365"/>
        <v>1</v>
      </c>
      <c r="DA65" s="134">
        <f>'бюджет округа (района)'!BB65+'бюджеты поселений'!BB65</f>
        <v>0</v>
      </c>
      <c r="DB65" s="137">
        <f>'бюджет округа (района)'!BB65</f>
        <v>0</v>
      </c>
      <c r="DC65" s="134"/>
      <c r="DD65" s="134"/>
      <c r="DE65" s="135">
        <f t="shared" si="366"/>
        <v>1</v>
      </c>
      <c r="DF65" s="135">
        <f t="shared" si="366"/>
        <v>1</v>
      </c>
      <c r="DG65" s="134">
        <f>'бюджет округа (района)'!BE65+'бюджеты поселений'!BE65</f>
        <v>0</v>
      </c>
      <c r="DH65" s="137">
        <f>'бюджет округа (района)'!BE65</f>
        <v>0</v>
      </c>
      <c r="DI65" s="134"/>
      <c r="DJ65" s="134"/>
      <c r="DK65" s="135">
        <f t="shared" si="367"/>
        <v>1</v>
      </c>
      <c r="DL65" s="135">
        <f t="shared" si="367"/>
        <v>1</v>
      </c>
      <c r="DM65" s="134">
        <f>'бюджет округа (района)'!BH65+'бюджеты поселений'!BH65</f>
        <v>0</v>
      </c>
      <c r="DN65" s="137">
        <f>'бюджет округа (района)'!BH65</f>
        <v>0</v>
      </c>
      <c r="DO65" s="134">
        <f>'бюджет округа (района)'!BI65+'бюджеты поселений'!BI65</f>
        <v>0</v>
      </c>
      <c r="DP65" s="137">
        <f>'бюджет округа (района)'!BI65</f>
        <v>0</v>
      </c>
      <c r="DQ65" s="134">
        <f>'бюджет округа (района)'!BJ65+'бюджеты поселений'!BJ65</f>
        <v>0</v>
      </c>
      <c r="DR65" s="137">
        <f>'бюджет округа (района)'!BJ65</f>
        <v>0</v>
      </c>
      <c r="DS65" s="135">
        <f t="shared" si="368"/>
        <v>1</v>
      </c>
      <c r="DT65" s="135">
        <f t="shared" si="369"/>
        <v>1</v>
      </c>
      <c r="DU65" s="135">
        <f t="shared" si="370"/>
        <v>1</v>
      </c>
      <c r="DV65" s="135">
        <f t="shared" si="370"/>
        <v>1</v>
      </c>
      <c r="DW65" s="167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</row>
    <row r="66" spans="1:268" s="64" customFormat="1" ht="18.75" hidden="1" customHeight="1">
      <c r="A66" s="33"/>
      <c r="B66" s="174"/>
      <c r="C66" s="134">
        <f>'бюджет округа (района)'!C66+'бюджеты поселений'!C66</f>
        <v>0</v>
      </c>
      <c r="D66" s="137">
        <f>'бюджет округа (района)'!C66</f>
        <v>0</v>
      </c>
      <c r="E66" s="134">
        <f t="shared" ref="E66:F73" si="371">G66+I66+M66+Q66+U66+Y66+AC66+AG66+AK66+AO66+AS66+AW66</f>
        <v>0</v>
      </c>
      <c r="F66" s="137">
        <f t="shared" si="371"/>
        <v>0</v>
      </c>
      <c r="G66" s="134">
        <f>'бюджет округа (района)'!E66+'бюджеты поселений'!E66</f>
        <v>0</v>
      </c>
      <c r="H66" s="137">
        <f>'бюджет округа (района)'!E66</f>
        <v>0</v>
      </c>
      <c r="I66" s="134">
        <f>'бюджет округа (района)'!F66+'бюджеты поселений'!F66</f>
        <v>0</v>
      </c>
      <c r="J66" s="137">
        <f>'бюджет округа (района)'!F66</f>
        <v>0</v>
      </c>
      <c r="K66" s="134">
        <f t="shared" si="356"/>
        <v>0</v>
      </c>
      <c r="L66" s="134">
        <f t="shared" si="356"/>
        <v>0</v>
      </c>
      <c r="M66" s="134">
        <f>'бюджет округа (района)'!H66+'бюджеты поселений'!H66</f>
        <v>0</v>
      </c>
      <c r="N66" s="137">
        <f>'бюджет округа (района)'!H66</f>
        <v>0</v>
      </c>
      <c r="O66" s="134"/>
      <c r="P66" s="134"/>
      <c r="Q66" s="134">
        <f>'бюджет округа (района)'!J66+'бюджеты поселений'!J66</f>
        <v>0</v>
      </c>
      <c r="R66" s="137">
        <f>'бюджет округа (района)'!J66</f>
        <v>0</v>
      </c>
      <c r="S66" s="134"/>
      <c r="T66" s="134"/>
      <c r="U66" s="134">
        <f>'бюджет округа (района)'!L66+'бюджеты поселений'!L66</f>
        <v>0</v>
      </c>
      <c r="V66" s="137">
        <f>'бюджет округа (района)'!L66</f>
        <v>0</v>
      </c>
      <c r="W66" s="134"/>
      <c r="X66" s="134"/>
      <c r="Y66" s="134">
        <f>'бюджет округа (района)'!N66+'бюджеты поселений'!N66</f>
        <v>0</v>
      </c>
      <c r="Z66" s="137">
        <f>'бюджет округа (района)'!N66</f>
        <v>0</v>
      </c>
      <c r="AA66" s="134"/>
      <c r="AB66" s="134"/>
      <c r="AC66" s="134">
        <f>'бюджет округа (района)'!P66+'бюджеты поселений'!P66</f>
        <v>0</v>
      </c>
      <c r="AD66" s="137">
        <f>'бюджет округа (района)'!P66</f>
        <v>0</v>
      </c>
      <c r="AE66" s="134"/>
      <c r="AF66" s="134"/>
      <c r="AG66" s="134">
        <f>'бюджет округа (района)'!R66+'бюджеты поселений'!R66</f>
        <v>0</v>
      </c>
      <c r="AH66" s="137">
        <f>'бюджет округа (района)'!R66</f>
        <v>0</v>
      </c>
      <c r="AI66" s="134"/>
      <c r="AJ66" s="134"/>
      <c r="AK66" s="134">
        <f>'бюджет округа (района)'!T66+'бюджеты поселений'!T66</f>
        <v>0</v>
      </c>
      <c r="AL66" s="137">
        <f>'бюджет округа (района)'!T66</f>
        <v>0</v>
      </c>
      <c r="AM66" s="134"/>
      <c r="AN66" s="134"/>
      <c r="AO66" s="134">
        <f>'бюджет округа (района)'!V66+'бюджеты поселений'!V66</f>
        <v>0</v>
      </c>
      <c r="AP66" s="137">
        <f>'бюджет округа (района)'!V66</f>
        <v>0</v>
      </c>
      <c r="AQ66" s="134"/>
      <c r="AR66" s="134"/>
      <c r="AS66" s="134">
        <f>'бюджет округа (района)'!X66+'бюджеты поселений'!X66</f>
        <v>0</v>
      </c>
      <c r="AT66" s="137">
        <f>'бюджет округа (района)'!X66</f>
        <v>0</v>
      </c>
      <c r="AU66" s="134"/>
      <c r="AV66" s="134"/>
      <c r="AW66" s="134">
        <f>'бюджет округа (района)'!Z66+'бюджеты поселений'!Z66</f>
        <v>0</v>
      </c>
      <c r="AX66" s="137">
        <f>'бюджет округа (района)'!Z66</f>
        <v>0</v>
      </c>
      <c r="AY66" s="134">
        <f>'бюджет округа (района)'!AA66+'бюджеты поселений'!AA66</f>
        <v>0</v>
      </c>
      <c r="AZ66" s="137">
        <f>'бюджет округа (района)'!AA66</f>
        <v>0</v>
      </c>
      <c r="BA66" s="135">
        <f t="shared" si="355"/>
        <v>1</v>
      </c>
      <c r="BB66" s="135">
        <f t="shared" si="355"/>
        <v>1</v>
      </c>
      <c r="BC66" s="134">
        <f>'бюджет округа (района)'!AC66+'бюджеты поселений'!AC66</f>
        <v>0</v>
      </c>
      <c r="BD66" s="137">
        <f>'бюджет округа (района)'!AC66</f>
        <v>0</v>
      </c>
      <c r="BE66" s="134">
        <f>'бюджет округа (района)'!AD66+'бюджеты поселений'!AD66</f>
        <v>0</v>
      </c>
      <c r="BF66" s="137">
        <f>'бюджет округа (района)'!AD66</f>
        <v>0</v>
      </c>
      <c r="BG66" s="134">
        <f t="shared" si="357"/>
        <v>0</v>
      </c>
      <c r="BH66" s="134">
        <f t="shared" si="357"/>
        <v>0</v>
      </c>
      <c r="BI66" s="135">
        <f t="shared" si="358"/>
        <v>1</v>
      </c>
      <c r="BJ66" s="135">
        <f t="shared" si="358"/>
        <v>1</v>
      </c>
      <c r="BK66" s="134">
        <f>'бюджет округа (района)'!AG66+'бюджеты поселений'!AG66</f>
        <v>0</v>
      </c>
      <c r="BL66" s="137">
        <f>'бюджет округа (района)'!AG66</f>
        <v>0</v>
      </c>
      <c r="BM66" s="134"/>
      <c r="BN66" s="134"/>
      <c r="BO66" s="135">
        <f t="shared" si="359"/>
        <v>1</v>
      </c>
      <c r="BP66" s="135">
        <f t="shared" si="359"/>
        <v>1</v>
      </c>
      <c r="BQ66" s="134">
        <f>'бюджет округа (района)'!AJ66+'бюджеты поселений'!AJ66</f>
        <v>0</v>
      </c>
      <c r="BR66" s="137">
        <f>'бюджет округа (района)'!AJ66</f>
        <v>0</v>
      </c>
      <c r="BS66" s="134"/>
      <c r="BT66" s="134"/>
      <c r="BU66" s="135">
        <f t="shared" si="360"/>
        <v>1</v>
      </c>
      <c r="BV66" s="135">
        <f t="shared" si="360"/>
        <v>1</v>
      </c>
      <c r="BW66" s="134">
        <f>'бюджет округа (района)'!AM66+'бюджеты поселений'!AM66</f>
        <v>0</v>
      </c>
      <c r="BX66" s="137">
        <f>'бюджет округа (района)'!AM66</f>
        <v>0</v>
      </c>
      <c r="BY66" s="134"/>
      <c r="BZ66" s="134"/>
      <c r="CA66" s="135">
        <f t="shared" si="361"/>
        <v>1</v>
      </c>
      <c r="CB66" s="135">
        <f t="shared" si="361"/>
        <v>1</v>
      </c>
      <c r="CC66" s="134">
        <f>'бюджет округа (района)'!AP66+'бюджеты поселений'!AP66</f>
        <v>0</v>
      </c>
      <c r="CD66" s="137">
        <f>'бюджет округа (района)'!AP66</f>
        <v>0</v>
      </c>
      <c r="CE66" s="134"/>
      <c r="CF66" s="134"/>
      <c r="CG66" s="135">
        <f t="shared" si="362"/>
        <v>1</v>
      </c>
      <c r="CH66" s="135">
        <f t="shared" si="362"/>
        <v>1</v>
      </c>
      <c r="CI66" s="134">
        <f>'бюджет округа (района)'!AS66+'бюджеты поселений'!AS66</f>
        <v>0</v>
      </c>
      <c r="CJ66" s="137">
        <f>'бюджет округа (района)'!AS66</f>
        <v>0</v>
      </c>
      <c r="CK66" s="134"/>
      <c r="CL66" s="134"/>
      <c r="CM66" s="135">
        <f t="shared" si="363"/>
        <v>1</v>
      </c>
      <c r="CN66" s="135">
        <f t="shared" si="363"/>
        <v>1</v>
      </c>
      <c r="CO66" s="134">
        <f>'бюджет округа (района)'!AV66+'бюджеты поселений'!AV66</f>
        <v>0</v>
      </c>
      <c r="CP66" s="137">
        <f>'бюджет округа (района)'!AV66</f>
        <v>0</v>
      </c>
      <c r="CQ66" s="134"/>
      <c r="CR66" s="134"/>
      <c r="CS66" s="135">
        <f t="shared" si="364"/>
        <v>1</v>
      </c>
      <c r="CT66" s="135">
        <f t="shared" si="364"/>
        <v>1</v>
      </c>
      <c r="CU66" s="134">
        <f>'бюджет округа (района)'!AY66+'бюджеты поселений'!AY66</f>
        <v>0</v>
      </c>
      <c r="CV66" s="137">
        <f>'бюджет округа (района)'!AY66</f>
        <v>0</v>
      </c>
      <c r="CW66" s="134"/>
      <c r="CX66" s="134"/>
      <c r="CY66" s="135">
        <f t="shared" si="365"/>
        <v>1</v>
      </c>
      <c r="CZ66" s="135">
        <f t="shared" si="365"/>
        <v>1</v>
      </c>
      <c r="DA66" s="134">
        <f>'бюджет округа (района)'!BB66+'бюджеты поселений'!BB66</f>
        <v>0</v>
      </c>
      <c r="DB66" s="137">
        <f>'бюджет округа (района)'!BB66</f>
        <v>0</v>
      </c>
      <c r="DC66" s="134"/>
      <c r="DD66" s="134"/>
      <c r="DE66" s="135">
        <f t="shared" si="366"/>
        <v>1</v>
      </c>
      <c r="DF66" s="135">
        <f t="shared" si="366"/>
        <v>1</v>
      </c>
      <c r="DG66" s="134">
        <f>'бюджет округа (района)'!BE66+'бюджеты поселений'!BE66</f>
        <v>0</v>
      </c>
      <c r="DH66" s="137">
        <f>'бюджет округа (района)'!BE66</f>
        <v>0</v>
      </c>
      <c r="DI66" s="134"/>
      <c r="DJ66" s="134"/>
      <c r="DK66" s="135">
        <f t="shared" si="367"/>
        <v>1</v>
      </c>
      <c r="DL66" s="135">
        <f t="shared" si="367"/>
        <v>1</v>
      </c>
      <c r="DM66" s="134">
        <f>'бюджет округа (района)'!BH66+'бюджеты поселений'!BH66</f>
        <v>0</v>
      </c>
      <c r="DN66" s="137">
        <f>'бюджет округа (района)'!BH66</f>
        <v>0</v>
      </c>
      <c r="DO66" s="134">
        <f>'бюджет округа (района)'!BI66+'бюджеты поселений'!BI66</f>
        <v>0</v>
      </c>
      <c r="DP66" s="137">
        <f>'бюджет округа (района)'!BI66</f>
        <v>0</v>
      </c>
      <c r="DQ66" s="134">
        <f>'бюджет округа (района)'!BJ66+'бюджеты поселений'!BJ66</f>
        <v>0</v>
      </c>
      <c r="DR66" s="137">
        <f>'бюджет округа (района)'!BJ66</f>
        <v>0</v>
      </c>
      <c r="DS66" s="135">
        <f t="shared" si="368"/>
        <v>1</v>
      </c>
      <c r="DT66" s="135">
        <f t="shared" si="369"/>
        <v>1</v>
      </c>
      <c r="DU66" s="135">
        <f t="shared" si="370"/>
        <v>1</v>
      </c>
      <c r="DV66" s="135">
        <f t="shared" si="370"/>
        <v>1</v>
      </c>
      <c r="DW66" s="167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</row>
    <row r="67" spans="1:268" s="64" customFormat="1" ht="18.75" hidden="1" customHeight="1">
      <c r="A67" s="33"/>
      <c r="B67" s="174"/>
      <c r="C67" s="134">
        <f>'бюджет округа (района)'!C67+'бюджеты поселений'!C67</f>
        <v>0</v>
      </c>
      <c r="D67" s="137">
        <f>'бюджет округа (района)'!C67</f>
        <v>0</v>
      </c>
      <c r="E67" s="134">
        <f t="shared" si="371"/>
        <v>0</v>
      </c>
      <c r="F67" s="137">
        <f t="shared" si="371"/>
        <v>0</v>
      </c>
      <c r="G67" s="134">
        <f>'бюджет округа (района)'!E67+'бюджеты поселений'!E67</f>
        <v>0</v>
      </c>
      <c r="H67" s="137">
        <f>'бюджет округа (района)'!E67</f>
        <v>0</v>
      </c>
      <c r="I67" s="134">
        <f>'бюджет округа (района)'!F67+'бюджеты поселений'!F67</f>
        <v>0</v>
      </c>
      <c r="J67" s="137">
        <f>'бюджет округа (района)'!F67</f>
        <v>0</v>
      </c>
      <c r="K67" s="134">
        <f t="shared" si="356"/>
        <v>0</v>
      </c>
      <c r="L67" s="134">
        <f t="shared" si="356"/>
        <v>0</v>
      </c>
      <c r="M67" s="134">
        <f>'бюджет округа (района)'!H67+'бюджеты поселений'!H67</f>
        <v>0</v>
      </c>
      <c r="N67" s="137">
        <f>'бюджет округа (района)'!H67</f>
        <v>0</v>
      </c>
      <c r="O67" s="134"/>
      <c r="P67" s="134"/>
      <c r="Q67" s="134">
        <f>'бюджет округа (района)'!J67+'бюджеты поселений'!J67</f>
        <v>0</v>
      </c>
      <c r="R67" s="137">
        <f>'бюджет округа (района)'!J67</f>
        <v>0</v>
      </c>
      <c r="S67" s="134"/>
      <c r="T67" s="134"/>
      <c r="U67" s="134">
        <f>'бюджет округа (района)'!L67+'бюджеты поселений'!L67</f>
        <v>0</v>
      </c>
      <c r="V67" s="137">
        <f>'бюджет округа (района)'!L67</f>
        <v>0</v>
      </c>
      <c r="W67" s="134"/>
      <c r="X67" s="134"/>
      <c r="Y67" s="134">
        <f>'бюджет округа (района)'!N67+'бюджеты поселений'!N67</f>
        <v>0</v>
      </c>
      <c r="Z67" s="137">
        <f>'бюджет округа (района)'!N67</f>
        <v>0</v>
      </c>
      <c r="AA67" s="134"/>
      <c r="AB67" s="134"/>
      <c r="AC67" s="134">
        <f>'бюджет округа (района)'!P67+'бюджеты поселений'!P67</f>
        <v>0</v>
      </c>
      <c r="AD67" s="137">
        <f>'бюджет округа (района)'!P67</f>
        <v>0</v>
      </c>
      <c r="AE67" s="134"/>
      <c r="AF67" s="134"/>
      <c r="AG67" s="134">
        <f>'бюджет округа (района)'!R67+'бюджеты поселений'!R67</f>
        <v>0</v>
      </c>
      <c r="AH67" s="137">
        <f>'бюджет округа (района)'!R67</f>
        <v>0</v>
      </c>
      <c r="AI67" s="134"/>
      <c r="AJ67" s="134"/>
      <c r="AK67" s="134">
        <f>'бюджет округа (района)'!T67+'бюджеты поселений'!T67</f>
        <v>0</v>
      </c>
      <c r="AL67" s="137">
        <f>'бюджет округа (района)'!T67</f>
        <v>0</v>
      </c>
      <c r="AM67" s="134"/>
      <c r="AN67" s="134"/>
      <c r="AO67" s="134">
        <f>'бюджет округа (района)'!V67+'бюджеты поселений'!V67</f>
        <v>0</v>
      </c>
      <c r="AP67" s="137">
        <f>'бюджет округа (района)'!V67</f>
        <v>0</v>
      </c>
      <c r="AQ67" s="134"/>
      <c r="AR67" s="134"/>
      <c r="AS67" s="134">
        <f>'бюджет округа (района)'!X67+'бюджеты поселений'!X67</f>
        <v>0</v>
      </c>
      <c r="AT67" s="137">
        <f>'бюджет округа (района)'!X67</f>
        <v>0</v>
      </c>
      <c r="AU67" s="134"/>
      <c r="AV67" s="134"/>
      <c r="AW67" s="134">
        <f>'бюджет округа (района)'!Z67+'бюджеты поселений'!Z67</f>
        <v>0</v>
      </c>
      <c r="AX67" s="137">
        <f>'бюджет округа (района)'!Z67</f>
        <v>0</v>
      </c>
      <c r="AY67" s="134">
        <f>'бюджет округа (района)'!AA67+'бюджеты поселений'!AA67</f>
        <v>0</v>
      </c>
      <c r="AZ67" s="137">
        <f>'бюджет округа (района)'!AA67</f>
        <v>0</v>
      </c>
      <c r="BA67" s="135">
        <f t="shared" si="355"/>
        <v>1</v>
      </c>
      <c r="BB67" s="135">
        <f t="shared" si="355"/>
        <v>1</v>
      </c>
      <c r="BC67" s="134">
        <f>'бюджет округа (района)'!AC67+'бюджеты поселений'!AC67</f>
        <v>0</v>
      </c>
      <c r="BD67" s="137">
        <f>'бюджет округа (района)'!AC67</f>
        <v>0</v>
      </c>
      <c r="BE67" s="134">
        <f>'бюджет округа (района)'!AD67+'бюджеты поселений'!AD67</f>
        <v>0</v>
      </c>
      <c r="BF67" s="137">
        <f>'бюджет округа (района)'!AD67</f>
        <v>0</v>
      </c>
      <c r="BG67" s="134">
        <f t="shared" si="357"/>
        <v>0</v>
      </c>
      <c r="BH67" s="134">
        <f t="shared" si="357"/>
        <v>0</v>
      </c>
      <c r="BI67" s="135">
        <f t="shared" si="358"/>
        <v>1</v>
      </c>
      <c r="BJ67" s="135">
        <f t="shared" si="358"/>
        <v>1</v>
      </c>
      <c r="BK67" s="134">
        <f>'бюджет округа (района)'!AG67+'бюджеты поселений'!AG67</f>
        <v>0</v>
      </c>
      <c r="BL67" s="137">
        <f>'бюджет округа (района)'!AG67</f>
        <v>0</v>
      </c>
      <c r="BM67" s="134"/>
      <c r="BN67" s="134"/>
      <c r="BO67" s="135">
        <f t="shared" si="359"/>
        <v>1</v>
      </c>
      <c r="BP67" s="135">
        <f t="shared" si="359"/>
        <v>1</v>
      </c>
      <c r="BQ67" s="134">
        <f>'бюджет округа (района)'!AJ67+'бюджеты поселений'!AJ67</f>
        <v>0</v>
      </c>
      <c r="BR67" s="137">
        <f>'бюджет округа (района)'!AJ67</f>
        <v>0</v>
      </c>
      <c r="BS67" s="134"/>
      <c r="BT67" s="134"/>
      <c r="BU67" s="135">
        <f t="shared" si="360"/>
        <v>1</v>
      </c>
      <c r="BV67" s="135">
        <f t="shared" si="360"/>
        <v>1</v>
      </c>
      <c r="BW67" s="134">
        <f>'бюджет округа (района)'!AM67+'бюджеты поселений'!AM67</f>
        <v>0</v>
      </c>
      <c r="BX67" s="137">
        <f>'бюджет округа (района)'!AM67</f>
        <v>0</v>
      </c>
      <c r="BY67" s="134"/>
      <c r="BZ67" s="134"/>
      <c r="CA67" s="135">
        <f t="shared" si="361"/>
        <v>1</v>
      </c>
      <c r="CB67" s="135">
        <f t="shared" si="361"/>
        <v>1</v>
      </c>
      <c r="CC67" s="134">
        <f>'бюджет округа (района)'!AP67+'бюджеты поселений'!AP67</f>
        <v>0</v>
      </c>
      <c r="CD67" s="137">
        <f>'бюджет округа (района)'!AP67</f>
        <v>0</v>
      </c>
      <c r="CE67" s="134"/>
      <c r="CF67" s="134"/>
      <c r="CG67" s="135">
        <f t="shared" si="362"/>
        <v>1</v>
      </c>
      <c r="CH67" s="135">
        <f t="shared" si="362"/>
        <v>1</v>
      </c>
      <c r="CI67" s="134">
        <f>'бюджет округа (района)'!AS67+'бюджеты поселений'!AS67</f>
        <v>0</v>
      </c>
      <c r="CJ67" s="137">
        <f>'бюджет округа (района)'!AS67</f>
        <v>0</v>
      </c>
      <c r="CK67" s="134"/>
      <c r="CL67" s="134"/>
      <c r="CM67" s="135">
        <f t="shared" si="363"/>
        <v>1</v>
      </c>
      <c r="CN67" s="135">
        <f t="shared" si="363"/>
        <v>1</v>
      </c>
      <c r="CO67" s="134">
        <f>'бюджет округа (района)'!AV67+'бюджеты поселений'!AV67</f>
        <v>0</v>
      </c>
      <c r="CP67" s="137">
        <f>'бюджет округа (района)'!AV67</f>
        <v>0</v>
      </c>
      <c r="CQ67" s="134"/>
      <c r="CR67" s="134"/>
      <c r="CS67" s="135">
        <f t="shared" si="364"/>
        <v>1</v>
      </c>
      <c r="CT67" s="135">
        <f t="shared" si="364"/>
        <v>1</v>
      </c>
      <c r="CU67" s="134">
        <f>'бюджет округа (района)'!AY67+'бюджеты поселений'!AY67</f>
        <v>0</v>
      </c>
      <c r="CV67" s="137">
        <f>'бюджет округа (района)'!AY67</f>
        <v>0</v>
      </c>
      <c r="CW67" s="134"/>
      <c r="CX67" s="134"/>
      <c r="CY67" s="135">
        <f t="shared" si="365"/>
        <v>1</v>
      </c>
      <c r="CZ67" s="135">
        <f t="shared" si="365"/>
        <v>1</v>
      </c>
      <c r="DA67" s="134">
        <f>'бюджет округа (района)'!BB67+'бюджеты поселений'!BB67</f>
        <v>0</v>
      </c>
      <c r="DB67" s="137">
        <f>'бюджет округа (района)'!BB67</f>
        <v>0</v>
      </c>
      <c r="DC67" s="134"/>
      <c r="DD67" s="134"/>
      <c r="DE67" s="135">
        <f t="shared" si="366"/>
        <v>1</v>
      </c>
      <c r="DF67" s="135">
        <f t="shared" si="366"/>
        <v>1</v>
      </c>
      <c r="DG67" s="134">
        <f>'бюджет округа (района)'!BE67+'бюджеты поселений'!BE67</f>
        <v>0</v>
      </c>
      <c r="DH67" s="137">
        <f>'бюджет округа (района)'!BE67</f>
        <v>0</v>
      </c>
      <c r="DI67" s="134"/>
      <c r="DJ67" s="134"/>
      <c r="DK67" s="135">
        <f t="shared" si="367"/>
        <v>1</v>
      </c>
      <c r="DL67" s="135">
        <f t="shared" si="367"/>
        <v>1</v>
      </c>
      <c r="DM67" s="134">
        <f>'бюджет округа (района)'!BH67+'бюджеты поселений'!BH67</f>
        <v>0</v>
      </c>
      <c r="DN67" s="137">
        <f>'бюджет округа (района)'!BH67</f>
        <v>0</v>
      </c>
      <c r="DO67" s="134">
        <f>'бюджет округа (района)'!BI67+'бюджеты поселений'!BI67</f>
        <v>0</v>
      </c>
      <c r="DP67" s="137">
        <f>'бюджет округа (района)'!BI67</f>
        <v>0</v>
      </c>
      <c r="DQ67" s="134">
        <f>'бюджет округа (района)'!BJ67+'бюджеты поселений'!BJ67</f>
        <v>0</v>
      </c>
      <c r="DR67" s="137">
        <f>'бюджет округа (района)'!BJ67</f>
        <v>0</v>
      </c>
      <c r="DS67" s="135">
        <f t="shared" si="368"/>
        <v>1</v>
      </c>
      <c r="DT67" s="135">
        <f t="shared" si="369"/>
        <v>1</v>
      </c>
      <c r="DU67" s="135">
        <f t="shared" si="370"/>
        <v>1</v>
      </c>
      <c r="DV67" s="135">
        <f t="shared" si="370"/>
        <v>1</v>
      </c>
      <c r="DW67" s="167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</row>
    <row r="68" spans="1:268" s="64" customFormat="1" ht="18.75" hidden="1" customHeight="1">
      <c r="A68" s="33"/>
      <c r="B68" s="174"/>
      <c r="C68" s="134">
        <f>'бюджет округа (района)'!C68+'бюджеты поселений'!C68</f>
        <v>0</v>
      </c>
      <c r="D68" s="137">
        <f>'бюджет округа (района)'!C68</f>
        <v>0</v>
      </c>
      <c r="E68" s="134">
        <f t="shared" si="371"/>
        <v>0</v>
      </c>
      <c r="F68" s="137">
        <f t="shared" si="371"/>
        <v>0</v>
      </c>
      <c r="G68" s="134">
        <f>'бюджет округа (района)'!E68+'бюджеты поселений'!E68</f>
        <v>0</v>
      </c>
      <c r="H68" s="137">
        <f>'бюджет округа (района)'!E68</f>
        <v>0</v>
      </c>
      <c r="I68" s="134">
        <f>'бюджет округа (района)'!F68+'бюджеты поселений'!F68</f>
        <v>0</v>
      </c>
      <c r="J68" s="137">
        <f>'бюджет округа (района)'!F68</f>
        <v>0</v>
      </c>
      <c r="K68" s="134">
        <f t="shared" si="356"/>
        <v>0</v>
      </c>
      <c r="L68" s="134">
        <f t="shared" si="356"/>
        <v>0</v>
      </c>
      <c r="M68" s="134">
        <f>'бюджет округа (района)'!H68+'бюджеты поселений'!H68</f>
        <v>0</v>
      </c>
      <c r="N68" s="137">
        <f>'бюджет округа (района)'!H68</f>
        <v>0</v>
      </c>
      <c r="O68" s="134"/>
      <c r="P68" s="134"/>
      <c r="Q68" s="134">
        <f>'бюджет округа (района)'!J68+'бюджеты поселений'!J68</f>
        <v>0</v>
      </c>
      <c r="R68" s="137">
        <f>'бюджет округа (района)'!J68</f>
        <v>0</v>
      </c>
      <c r="S68" s="134"/>
      <c r="T68" s="134"/>
      <c r="U68" s="134">
        <f>'бюджет округа (района)'!L68+'бюджеты поселений'!L68</f>
        <v>0</v>
      </c>
      <c r="V68" s="137">
        <f>'бюджет округа (района)'!L68</f>
        <v>0</v>
      </c>
      <c r="W68" s="134"/>
      <c r="X68" s="134"/>
      <c r="Y68" s="134">
        <f>'бюджет округа (района)'!N68+'бюджеты поселений'!N68</f>
        <v>0</v>
      </c>
      <c r="Z68" s="137">
        <f>'бюджет округа (района)'!N68</f>
        <v>0</v>
      </c>
      <c r="AA68" s="134"/>
      <c r="AB68" s="134"/>
      <c r="AC68" s="134">
        <f>'бюджет округа (района)'!P68+'бюджеты поселений'!P68</f>
        <v>0</v>
      </c>
      <c r="AD68" s="137">
        <f>'бюджет округа (района)'!P68</f>
        <v>0</v>
      </c>
      <c r="AE68" s="134"/>
      <c r="AF68" s="134"/>
      <c r="AG68" s="134">
        <f>'бюджет округа (района)'!R68+'бюджеты поселений'!R68</f>
        <v>0</v>
      </c>
      <c r="AH68" s="137">
        <f>'бюджет округа (района)'!R68</f>
        <v>0</v>
      </c>
      <c r="AI68" s="134"/>
      <c r="AJ68" s="134"/>
      <c r="AK68" s="134">
        <f>'бюджет округа (района)'!T68+'бюджеты поселений'!T68</f>
        <v>0</v>
      </c>
      <c r="AL68" s="137">
        <f>'бюджет округа (района)'!T68</f>
        <v>0</v>
      </c>
      <c r="AM68" s="134"/>
      <c r="AN68" s="134"/>
      <c r="AO68" s="134">
        <f>'бюджет округа (района)'!V68+'бюджеты поселений'!V68</f>
        <v>0</v>
      </c>
      <c r="AP68" s="137">
        <f>'бюджет округа (района)'!V68</f>
        <v>0</v>
      </c>
      <c r="AQ68" s="134"/>
      <c r="AR68" s="134"/>
      <c r="AS68" s="134">
        <f>'бюджет округа (района)'!X68+'бюджеты поселений'!X68</f>
        <v>0</v>
      </c>
      <c r="AT68" s="137">
        <f>'бюджет округа (района)'!X68</f>
        <v>0</v>
      </c>
      <c r="AU68" s="134"/>
      <c r="AV68" s="134"/>
      <c r="AW68" s="134">
        <f>'бюджет округа (района)'!Z68+'бюджеты поселений'!Z68</f>
        <v>0</v>
      </c>
      <c r="AX68" s="137">
        <f>'бюджет округа (района)'!Z68</f>
        <v>0</v>
      </c>
      <c r="AY68" s="134">
        <f>'бюджет округа (района)'!AA68+'бюджеты поселений'!AA68</f>
        <v>0</v>
      </c>
      <c r="AZ68" s="137">
        <f>'бюджет округа (района)'!AA68</f>
        <v>0</v>
      </c>
      <c r="BA68" s="135">
        <f t="shared" si="355"/>
        <v>1</v>
      </c>
      <c r="BB68" s="135">
        <f t="shared" si="355"/>
        <v>1</v>
      </c>
      <c r="BC68" s="134">
        <f>'бюджет округа (района)'!AC68+'бюджеты поселений'!AC68</f>
        <v>0</v>
      </c>
      <c r="BD68" s="137">
        <f>'бюджет округа (района)'!AC68</f>
        <v>0</v>
      </c>
      <c r="BE68" s="134">
        <f>'бюджет округа (района)'!AD68+'бюджеты поселений'!AD68</f>
        <v>0</v>
      </c>
      <c r="BF68" s="137">
        <f>'бюджет округа (района)'!AD68</f>
        <v>0</v>
      </c>
      <c r="BG68" s="134">
        <f t="shared" si="357"/>
        <v>0</v>
      </c>
      <c r="BH68" s="134">
        <f t="shared" si="357"/>
        <v>0</v>
      </c>
      <c r="BI68" s="135">
        <f t="shared" si="358"/>
        <v>1</v>
      </c>
      <c r="BJ68" s="135">
        <f t="shared" si="358"/>
        <v>1</v>
      </c>
      <c r="BK68" s="134">
        <f>'бюджет округа (района)'!AG68+'бюджеты поселений'!AG68</f>
        <v>0</v>
      </c>
      <c r="BL68" s="137">
        <f>'бюджет округа (района)'!AG68</f>
        <v>0</v>
      </c>
      <c r="BM68" s="134"/>
      <c r="BN68" s="134"/>
      <c r="BO68" s="135">
        <f t="shared" si="359"/>
        <v>1</v>
      </c>
      <c r="BP68" s="135">
        <f t="shared" si="359"/>
        <v>1</v>
      </c>
      <c r="BQ68" s="134">
        <f>'бюджет округа (района)'!AJ68+'бюджеты поселений'!AJ68</f>
        <v>0</v>
      </c>
      <c r="BR68" s="137">
        <f>'бюджет округа (района)'!AJ68</f>
        <v>0</v>
      </c>
      <c r="BS68" s="134"/>
      <c r="BT68" s="134"/>
      <c r="BU68" s="135">
        <f t="shared" si="360"/>
        <v>1</v>
      </c>
      <c r="BV68" s="135">
        <f t="shared" si="360"/>
        <v>1</v>
      </c>
      <c r="BW68" s="134">
        <f>'бюджет округа (района)'!AM68+'бюджеты поселений'!AM68</f>
        <v>0</v>
      </c>
      <c r="BX68" s="137">
        <f>'бюджет округа (района)'!AM68</f>
        <v>0</v>
      </c>
      <c r="BY68" s="134"/>
      <c r="BZ68" s="134"/>
      <c r="CA68" s="135">
        <f t="shared" si="361"/>
        <v>1</v>
      </c>
      <c r="CB68" s="135">
        <f t="shared" si="361"/>
        <v>1</v>
      </c>
      <c r="CC68" s="134">
        <f>'бюджет округа (района)'!AP68+'бюджеты поселений'!AP68</f>
        <v>0</v>
      </c>
      <c r="CD68" s="137">
        <f>'бюджет округа (района)'!AP68</f>
        <v>0</v>
      </c>
      <c r="CE68" s="134"/>
      <c r="CF68" s="134"/>
      <c r="CG68" s="135">
        <f t="shared" si="362"/>
        <v>1</v>
      </c>
      <c r="CH68" s="135">
        <f t="shared" si="362"/>
        <v>1</v>
      </c>
      <c r="CI68" s="134">
        <f>'бюджет округа (района)'!AS68+'бюджеты поселений'!AS68</f>
        <v>0</v>
      </c>
      <c r="CJ68" s="137">
        <f>'бюджет округа (района)'!AS68</f>
        <v>0</v>
      </c>
      <c r="CK68" s="134"/>
      <c r="CL68" s="134"/>
      <c r="CM68" s="135">
        <f t="shared" si="363"/>
        <v>1</v>
      </c>
      <c r="CN68" s="135">
        <f t="shared" si="363"/>
        <v>1</v>
      </c>
      <c r="CO68" s="134">
        <f>'бюджет округа (района)'!AV68+'бюджеты поселений'!AV68</f>
        <v>0</v>
      </c>
      <c r="CP68" s="137">
        <f>'бюджет округа (района)'!AV68</f>
        <v>0</v>
      </c>
      <c r="CQ68" s="134"/>
      <c r="CR68" s="134"/>
      <c r="CS68" s="135">
        <f t="shared" si="364"/>
        <v>1</v>
      </c>
      <c r="CT68" s="135">
        <f t="shared" si="364"/>
        <v>1</v>
      </c>
      <c r="CU68" s="134">
        <f>'бюджет округа (района)'!AY68+'бюджеты поселений'!AY68</f>
        <v>0</v>
      </c>
      <c r="CV68" s="137">
        <f>'бюджет округа (района)'!AY68</f>
        <v>0</v>
      </c>
      <c r="CW68" s="134"/>
      <c r="CX68" s="134"/>
      <c r="CY68" s="135">
        <f t="shared" si="365"/>
        <v>1</v>
      </c>
      <c r="CZ68" s="135">
        <f t="shared" si="365"/>
        <v>1</v>
      </c>
      <c r="DA68" s="134">
        <f>'бюджет округа (района)'!BB68+'бюджеты поселений'!BB68</f>
        <v>0</v>
      </c>
      <c r="DB68" s="137">
        <f>'бюджет округа (района)'!BB68</f>
        <v>0</v>
      </c>
      <c r="DC68" s="134"/>
      <c r="DD68" s="134"/>
      <c r="DE68" s="135">
        <f t="shared" si="366"/>
        <v>1</v>
      </c>
      <c r="DF68" s="135">
        <f t="shared" si="366"/>
        <v>1</v>
      </c>
      <c r="DG68" s="134">
        <f>'бюджет округа (района)'!BE68+'бюджеты поселений'!BE68</f>
        <v>0</v>
      </c>
      <c r="DH68" s="137">
        <f>'бюджет округа (района)'!BE68</f>
        <v>0</v>
      </c>
      <c r="DI68" s="134"/>
      <c r="DJ68" s="134"/>
      <c r="DK68" s="135">
        <f t="shared" si="367"/>
        <v>1</v>
      </c>
      <c r="DL68" s="135">
        <f t="shared" si="367"/>
        <v>1</v>
      </c>
      <c r="DM68" s="134">
        <f>'бюджет округа (района)'!BH68+'бюджеты поселений'!BH68</f>
        <v>0</v>
      </c>
      <c r="DN68" s="137">
        <f>'бюджет округа (района)'!BH68</f>
        <v>0</v>
      </c>
      <c r="DO68" s="134">
        <f>'бюджет округа (района)'!BI68+'бюджеты поселений'!BI68</f>
        <v>0</v>
      </c>
      <c r="DP68" s="137">
        <f>'бюджет округа (района)'!BI68</f>
        <v>0</v>
      </c>
      <c r="DQ68" s="134">
        <f>'бюджет округа (района)'!BJ68+'бюджеты поселений'!BJ68</f>
        <v>0</v>
      </c>
      <c r="DR68" s="137">
        <f>'бюджет округа (района)'!BJ68</f>
        <v>0</v>
      </c>
      <c r="DS68" s="135">
        <f t="shared" si="368"/>
        <v>1</v>
      </c>
      <c r="DT68" s="135">
        <f t="shared" si="369"/>
        <v>1</v>
      </c>
      <c r="DU68" s="135">
        <f t="shared" si="370"/>
        <v>1</v>
      </c>
      <c r="DV68" s="135">
        <f t="shared" si="370"/>
        <v>1</v>
      </c>
      <c r="DW68" s="167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</row>
    <row r="69" spans="1:268" s="64" customFormat="1" ht="18.75" hidden="1" customHeight="1">
      <c r="A69" s="33"/>
      <c r="B69" s="174"/>
      <c r="C69" s="134">
        <f>'бюджет округа (района)'!C69+'бюджеты поселений'!C69</f>
        <v>0</v>
      </c>
      <c r="D69" s="137">
        <f>'бюджет округа (района)'!C69</f>
        <v>0</v>
      </c>
      <c r="E69" s="134">
        <f t="shared" si="371"/>
        <v>0</v>
      </c>
      <c r="F69" s="137">
        <f t="shared" si="371"/>
        <v>0</v>
      </c>
      <c r="G69" s="134">
        <f>'бюджет округа (района)'!E69+'бюджеты поселений'!E69</f>
        <v>0</v>
      </c>
      <c r="H69" s="137">
        <f>'бюджет округа (района)'!E69</f>
        <v>0</v>
      </c>
      <c r="I69" s="134">
        <f>'бюджет округа (района)'!F69+'бюджеты поселений'!F69</f>
        <v>0</v>
      </c>
      <c r="J69" s="137">
        <f>'бюджет округа (района)'!F69</f>
        <v>0</v>
      </c>
      <c r="K69" s="134">
        <f t="shared" si="356"/>
        <v>0</v>
      </c>
      <c r="L69" s="134">
        <f t="shared" si="356"/>
        <v>0</v>
      </c>
      <c r="M69" s="134">
        <f>'бюджет округа (района)'!H69+'бюджеты поселений'!H69</f>
        <v>0</v>
      </c>
      <c r="N69" s="137">
        <f>'бюджет округа (района)'!H69</f>
        <v>0</v>
      </c>
      <c r="O69" s="134"/>
      <c r="P69" s="134"/>
      <c r="Q69" s="134">
        <f>'бюджет округа (района)'!J69+'бюджеты поселений'!J69</f>
        <v>0</v>
      </c>
      <c r="R69" s="137">
        <f>'бюджет округа (района)'!J69</f>
        <v>0</v>
      </c>
      <c r="S69" s="134"/>
      <c r="T69" s="134"/>
      <c r="U69" s="134">
        <f>'бюджет округа (района)'!L69+'бюджеты поселений'!L69</f>
        <v>0</v>
      </c>
      <c r="V69" s="137">
        <f>'бюджет округа (района)'!L69</f>
        <v>0</v>
      </c>
      <c r="W69" s="134"/>
      <c r="X69" s="134"/>
      <c r="Y69" s="134">
        <f>'бюджет округа (района)'!N69+'бюджеты поселений'!N69</f>
        <v>0</v>
      </c>
      <c r="Z69" s="137">
        <f>'бюджет округа (района)'!N69</f>
        <v>0</v>
      </c>
      <c r="AA69" s="134"/>
      <c r="AB69" s="134"/>
      <c r="AC69" s="134">
        <f>'бюджет округа (района)'!P69+'бюджеты поселений'!P69</f>
        <v>0</v>
      </c>
      <c r="AD69" s="137">
        <f>'бюджет округа (района)'!P69</f>
        <v>0</v>
      </c>
      <c r="AE69" s="134"/>
      <c r="AF69" s="134"/>
      <c r="AG69" s="134">
        <f>'бюджет округа (района)'!R69+'бюджеты поселений'!R69</f>
        <v>0</v>
      </c>
      <c r="AH69" s="137">
        <f>'бюджет округа (района)'!R69</f>
        <v>0</v>
      </c>
      <c r="AI69" s="134"/>
      <c r="AJ69" s="134"/>
      <c r="AK69" s="134">
        <f>'бюджет округа (района)'!T69+'бюджеты поселений'!T69</f>
        <v>0</v>
      </c>
      <c r="AL69" s="137">
        <f>'бюджет округа (района)'!T69</f>
        <v>0</v>
      </c>
      <c r="AM69" s="134"/>
      <c r="AN69" s="134"/>
      <c r="AO69" s="134">
        <f>'бюджет округа (района)'!V69+'бюджеты поселений'!V69</f>
        <v>0</v>
      </c>
      <c r="AP69" s="137">
        <f>'бюджет округа (района)'!V69</f>
        <v>0</v>
      </c>
      <c r="AQ69" s="134"/>
      <c r="AR69" s="134"/>
      <c r="AS69" s="134">
        <f>'бюджет округа (района)'!X69+'бюджеты поселений'!X69</f>
        <v>0</v>
      </c>
      <c r="AT69" s="137">
        <f>'бюджет округа (района)'!X69</f>
        <v>0</v>
      </c>
      <c r="AU69" s="134"/>
      <c r="AV69" s="134"/>
      <c r="AW69" s="134">
        <f>'бюджет округа (района)'!Z69+'бюджеты поселений'!Z69</f>
        <v>0</v>
      </c>
      <c r="AX69" s="137">
        <f>'бюджет округа (района)'!Z69</f>
        <v>0</v>
      </c>
      <c r="AY69" s="134">
        <f>'бюджет округа (района)'!AA69+'бюджеты поселений'!AA69</f>
        <v>0</v>
      </c>
      <c r="AZ69" s="137">
        <f>'бюджет округа (района)'!AA69</f>
        <v>0</v>
      </c>
      <c r="BA69" s="135">
        <f t="shared" si="355"/>
        <v>1</v>
      </c>
      <c r="BB69" s="135">
        <f t="shared" si="355"/>
        <v>1</v>
      </c>
      <c r="BC69" s="134">
        <f>'бюджет округа (района)'!AC69+'бюджеты поселений'!AC69</f>
        <v>0</v>
      </c>
      <c r="BD69" s="137">
        <f>'бюджет округа (района)'!AC69</f>
        <v>0</v>
      </c>
      <c r="BE69" s="134">
        <f>'бюджет округа (района)'!AD69+'бюджеты поселений'!AD69</f>
        <v>0</v>
      </c>
      <c r="BF69" s="137">
        <f>'бюджет округа (района)'!AD69</f>
        <v>0</v>
      </c>
      <c r="BG69" s="134">
        <f t="shared" si="357"/>
        <v>0</v>
      </c>
      <c r="BH69" s="134">
        <f t="shared" si="357"/>
        <v>0</v>
      </c>
      <c r="BI69" s="135">
        <f t="shared" si="358"/>
        <v>1</v>
      </c>
      <c r="BJ69" s="135">
        <f t="shared" si="358"/>
        <v>1</v>
      </c>
      <c r="BK69" s="134">
        <f>'бюджет округа (района)'!AG69+'бюджеты поселений'!AG69</f>
        <v>0</v>
      </c>
      <c r="BL69" s="137">
        <f>'бюджет округа (района)'!AG69</f>
        <v>0</v>
      </c>
      <c r="BM69" s="134"/>
      <c r="BN69" s="134"/>
      <c r="BO69" s="135">
        <f t="shared" si="359"/>
        <v>1</v>
      </c>
      <c r="BP69" s="135">
        <f t="shared" si="359"/>
        <v>1</v>
      </c>
      <c r="BQ69" s="134">
        <f>'бюджет округа (района)'!AJ69+'бюджеты поселений'!AJ69</f>
        <v>0</v>
      </c>
      <c r="BR69" s="137">
        <f>'бюджет округа (района)'!AJ69</f>
        <v>0</v>
      </c>
      <c r="BS69" s="134"/>
      <c r="BT69" s="134"/>
      <c r="BU69" s="135">
        <f t="shared" si="360"/>
        <v>1</v>
      </c>
      <c r="BV69" s="135">
        <f t="shared" si="360"/>
        <v>1</v>
      </c>
      <c r="BW69" s="134">
        <f>'бюджет округа (района)'!AM69+'бюджеты поселений'!AM69</f>
        <v>0</v>
      </c>
      <c r="BX69" s="137">
        <f>'бюджет округа (района)'!AM69</f>
        <v>0</v>
      </c>
      <c r="BY69" s="134"/>
      <c r="BZ69" s="134"/>
      <c r="CA69" s="135">
        <f t="shared" si="361"/>
        <v>1</v>
      </c>
      <c r="CB69" s="135">
        <f t="shared" si="361"/>
        <v>1</v>
      </c>
      <c r="CC69" s="134">
        <f>'бюджет округа (района)'!AP69+'бюджеты поселений'!AP69</f>
        <v>0</v>
      </c>
      <c r="CD69" s="137">
        <f>'бюджет округа (района)'!AP69</f>
        <v>0</v>
      </c>
      <c r="CE69" s="134"/>
      <c r="CF69" s="134"/>
      <c r="CG69" s="135">
        <f t="shared" si="362"/>
        <v>1</v>
      </c>
      <c r="CH69" s="135">
        <f t="shared" si="362"/>
        <v>1</v>
      </c>
      <c r="CI69" s="134">
        <f>'бюджет округа (района)'!AS69+'бюджеты поселений'!AS69</f>
        <v>0</v>
      </c>
      <c r="CJ69" s="137">
        <f>'бюджет округа (района)'!AS69</f>
        <v>0</v>
      </c>
      <c r="CK69" s="134"/>
      <c r="CL69" s="134"/>
      <c r="CM69" s="135">
        <f t="shared" si="363"/>
        <v>1</v>
      </c>
      <c r="CN69" s="135">
        <f t="shared" si="363"/>
        <v>1</v>
      </c>
      <c r="CO69" s="134">
        <f>'бюджет округа (района)'!AV69+'бюджеты поселений'!AV69</f>
        <v>0</v>
      </c>
      <c r="CP69" s="137">
        <f>'бюджет округа (района)'!AV69</f>
        <v>0</v>
      </c>
      <c r="CQ69" s="134"/>
      <c r="CR69" s="134"/>
      <c r="CS69" s="135">
        <f t="shared" si="364"/>
        <v>1</v>
      </c>
      <c r="CT69" s="135">
        <f t="shared" si="364"/>
        <v>1</v>
      </c>
      <c r="CU69" s="134">
        <f>'бюджет округа (района)'!AY69+'бюджеты поселений'!AY69</f>
        <v>0</v>
      </c>
      <c r="CV69" s="137">
        <f>'бюджет округа (района)'!AY69</f>
        <v>0</v>
      </c>
      <c r="CW69" s="134"/>
      <c r="CX69" s="134"/>
      <c r="CY69" s="135">
        <f t="shared" si="365"/>
        <v>1</v>
      </c>
      <c r="CZ69" s="135">
        <f t="shared" si="365"/>
        <v>1</v>
      </c>
      <c r="DA69" s="134">
        <f>'бюджет округа (района)'!BB69+'бюджеты поселений'!BB69</f>
        <v>0</v>
      </c>
      <c r="DB69" s="137">
        <f>'бюджет округа (района)'!BB69</f>
        <v>0</v>
      </c>
      <c r="DC69" s="134"/>
      <c r="DD69" s="134"/>
      <c r="DE69" s="135">
        <f t="shared" si="366"/>
        <v>1</v>
      </c>
      <c r="DF69" s="135">
        <f t="shared" si="366"/>
        <v>1</v>
      </c>
      <c r="DG69" s="134">
        <f>'бюджет округа (района)'!BE69+'бюджеты поселений'!BE69</f>
        <v>0</v>
      </c>
      <c r="DH69" s="137">
        <f>'бюджет округа (района)'!BE69</f>
        <v>0</v>
      </c>
      <c r="DI69" s="134"/>
      <c r="DJ69" s="134"/>
      <c r="DK69" s="135">
        <f t="shared" si="367"/>
        <v>1</v>
      </c>
      <c r="DL69" s="135">
        <f t="shared" si="367"/>
        <v>1</v>
      </c>
      <c r="DM69" s="134">
        <f>'бюджет округа (района)'!BH69+'бюджеты поселений'!BH69</f>
        <v>0</v>
      </c>
      <c r="DN69" s="137">
        <f>'бюджет округа (района)'!BH69</f>
        <v>0</v>
      </c>
      <c r="DO69" s="134">
        <f>'бюджет округа (района)'!BI69+'бюджеты поселений'!BI69</f>
        <v>0</v>
      </c>
      <c r="DP69" s="137">
        <f>'бюджет округа (района)'!BI69</f>
        <v>0</v>
      </c>
      <c r="DQ69" s="134">
        <f>'бюджет округа (района)'!BJ69+'бюджеты поселений'!BJ69</f>
        <v>0</v>
      </c>
      <c r="DR69" s="137">
        <f>'бюджет округа (района)'!BJ69</f>
        <v>0</v>
      </c>
      <c r="DS69" s="135">
        <f t="shared" si="368"/>
        <v>1</v>
      </c>
      <c r="DT69" s="135">
        <f t="shared" si="369"/>
        <v>1</v>
      </c>
      <c r="DU69" s="135">
        <f t="shared" si="370"/>
        <v>1</v>
      </c>
      <c r="DV69" s="135">
        <f t="shared" si="370"/>
        <v>1</v>
      </c>
      <c r="DW69" s="167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18.75" hidden="1" customHeight="1">
      <c r="A70" s="33"/>
      <c r="B70" s="174"/>
      <c r="C70" s="134">
        <f>'бюджет округа (района)'!C70+'бюджеты поселений'!C70</f>
        <v>0</v>
      </c>
      <c r="D70" s="137">
        <f>'бюджет округа (района)'!C70</f>
        <v>0</v>
      </c>
      <c r="E70" s="134">
        <f t="shared" si="371"/>
        <v>0</v>
      </c>
      <c r="F70" s="137">
        <f t="shared" si="371"/>
        <v>0</v>
      </c>
      <c r="G70" s="134">
        <f>'бюджет округа (района)'!E70+'бюджеты поселений'!E70</f>
        <v>0</v>
      </c>
      <c r="H70" s="137">
        <f>'бюджет округа (района)'!E70</f>
        <v>0</v>
      </c>
      <c r="I70" s="134">
        <f>'бюджет округа (района)'!F70+'бюджеты поселений'!F70</f>
        <v>0</v>
      </c>
      <c r="J70" s="137">
        <f>'бюджет округа (района)'!F70</f>
        <v>0</v>
      </c>
      <c r="K70" s="134">
        <f t="shared" si="356"/>
        <v>0</v>
      </c>
      <c r="L70" s="134">
        <f t="shared" si="356"/>
        <v>0</v>
      </c>
      <c r="M70" s="134">
        <f>'бюджет округа (района)'!H70+'бюджеты поселений'!H70</f>
        <v>0</v>
      </c>
      <c r="N70" s="137">
        <f>'бюджет округа (района)'!H70</f>
        <v>0</v>
      </c>
      <c r="O70" s="134"/>
      <c r="P70" s="134"/>
      <c r="Q70" s="134">
        <f>'бюджет округа (района)'!J70+'бюджеты поселений'!J70</f>
        <v>0</v>
      </c>
      <c r="R70" s="137">
        <f>'бюджет округа (района)'!J70</f>
        <v>0</v>
      </c>
      <c r="S70" s="134"/>
      <c r="T70" s="134"/>
      <c r="U70" s="134">
        <f>'бюджет округа (района)'!L70+'бюджеты поселений'!L70</f>
        <v>0</v>
      </c>
      <c r="V70" s="137">
        <f>'бюджет округа (района)'!L70</f>
        <v>0</v>
      </c>
      <c r="W70" s="134"/>
      <c r="X70" s="134"/>
      <c r="Y70" s="134">
        <f>'бюджет округа (района)'!N70+'бюджеты поселений'!N70</f>
        <v>0</v>
      </c>
      <c r="Z70" s="137">
        <f>'бюджет округа (района)'!N70</f>
        <v>0</v>
      </c>
      <c r="AA70" s="134"/>
      <c r="AB70" s="134"/>
      <c r="AC70" s="134">
        <f>'бюджет округа (района)'!P70+'бюджеты поселений'!P70</f>
        <v>0</v>
      </c>
      <c r="AD70" s="137">
        <f>'бюджет округа (района)'!P70</f>
        <v>0</v>
      </c>
      <c r="AE70" s="134"/>
      <c r="AF70" s="134"/>
      <c r="AG70" s="134">
        <f>'бюджет округа (района)'!R70+'бюджеты поселений'!R70</f>
        <v>0</v>
      </c>
      <c r="AH70" s="137">
        <f>'бюджет округа (района)'!R70</f>
        <v>0</v>
      </c>
      <c r="AI70" s="134"/>
      <c r="AJ70" s="134"/>
      <c r="AK70" s="134">
        <f>'бюджет округа (района)'!T70+'бюджеты поселений'!T70</f>
        <v>0</v>
      </c>
      <c r="AL70" s="137">
        <f>'бюджет округа (района)'!T70</f>
        <v>0</v>
      </c>
      <c r="AM70" s="134"/>
      <c r="AN70" s="134"/>
      <c r="AO70" s="134">
        <f>'бюджет округа (района)'!V70+'бюджеты поселений'!V70</f>
        <v>0</v>
      </c>
      <c r="AP70" s="137">
        <f>'бюджет округа (района)'!V70</f>
        <v>0</v>
      </c>
      <c r="AQ70" s="134"/>
      <c r="AR70" s="134"/>
      <c r="AS70" s="134">
        <f>'бюджет округа (района)'!X70+'бюджеты поселений'!X70</f>
        <v>0</v>
      </c>
      <c r="AT70" s="137">
        <f>'бюджет округа (района)'!X70</f>
        <v>0</v>
      </c>
      <c r="AU70" s="134"/>
      <c r="AV70" s="134"/>
      <c r="AW70" s="134">
        <f>'бюджет округа (района)'!Z70+'бюджеты поселений'!Z70</f>
        <v>0</v>
      </c>
      <c r="AX70" s="137">
        <f>'бюджет округа (района)'!Z70</f>
        <v>0</v>
      </c>
      <c r="AY70" s="134">
        <f>'бюджет округа (района)'!AA70+'бюджеты поселений'!AA70</f>
        <v>0</v>
      </c>
      <c r="AZ70" s="137">
        <f>'бюджет округа (района)'!AA70</f>
        <v>0</v>
      </c>
      <c r="BA70" s="135">
        <f t="shared" si="355"/>
        <v>1</v>
      </c>
      <c r="BB70" s="135">
        <f t="shared" si="355"/>
        <v>1</v>
      </c>
      <c r="BC70" s="134">
        <f>'бюджет округа (района)'!AC70+'бюджеты поселений'!AC70</f>
        <v>0</v>
      </c>
      <c r="BD70" s="137">
        <f>'бюджет округа (района)'!AC70</f>
        <v>0</v>
      </c>
      <c r="BE70" s="134">
        <f>'бюджет округа (района)'!AD70+'бюджеты поселений'!AD70</f>
        <v>0</v>
      </c>
      <c r="BF70" s="137">
        <f>'бюджет округа (района)'!AD70</f>
        <v>0</v>
      </c>
      <c r="BG70" s="134">
        <f t="shared" si="357"/>
        <v>0</v>
      </c>
      <c r="BH70" s="134">
        <f t="shared" si="357"/>
        <v>0</v>
      </c>
      <c r="BI70" s="135">
        <f t="shared" si="358"/>
        <v>1</v>
      </c>
      <c r="BJ70" s="135">
        <f t="shared" si="358"/>
        <v>1</v>
      </c>
      <c r="BK70" s="134">
        <f>'бюджет округа (района)'!AG70+'бюджеты поселений'!AG70</f>
        <v>0</v>
      </c>
      <c r="BL70" s="137">
        <f>'бюджет округа (района)'!AG70</f>
        <v>0</v>
      </c>
      <c r="BM70" s="134"/>
      <c r="BN70" s="134"/>
      <c r="BO70" s="135">
        <f t="shared" si="359"/>
        <v>1</v>
      </c>
      <c r="BP70" s="135">
        <f t="shared" si="359"/>
        <v>1</v>
      </c>
      <c r="BQ70" s="134">
        <f>'бюджет округа (района)'!AJ70+'бюджеты поселений'!AJ70</f>
        <v>0</v>
      </c>
      <c r="BR70" s="137">
        <f>'бюджет округа (района)'!AJ70</f>
        <v>0</v>
      </c>
      <c r="BS70" s="134"/>
      <c r="BT70" s="134"/>
      <c r="BU70" s="135">
        <f t="shared" si="360"/>
        <v>1</v>
      </c>
      <c r="BV70" s="135">
        <f t="shared" si="360"/>
        <v>1</v>
      </c>
      <c r="BW70" s="134">
        <f>'бюджет округа (района)'!AM70+'бюджеты поселений'!AM70</f>
        <v>0</v>
      </c>
      <c r="BX70" s="137">
        <f>'бюджет округа (района)'!AM70</f>
        <v>0</v>
      </c>
      <c r="BY70" s="134"/>
      <c r="BZ70" s="134"/>
      <c r="CA70" s="135">
        <f t="shared" si="361"/>
        <v>1</v>
      </c>
      <c r="CB70" s="135">
        <f t="shared" si="361"/>
        <v>1</v>
      </c>
      <c r="CC70" s="134">
        <f>'бюджет округа (района)'!AP70+'бюджеты поселений'!AP70</f>
        <v>0</v>
      </c>
      <c r="CD70" s="137">
        <f>'бюджет округа (района)'!AP70</f>
        <v>0</v>
      </c>
      <c r="CE70" s="134"/>
      <c r="CF70" s="134"/>
      <c r="CG70" s="135">
        <f t="shared" si="362"/>
        <v>1</v>
      </c>
      <c r="CH70" s="135">
        <f t="shared" si="362"/>
        <v>1</v>
      </c>
      <c r="CI70" s="134">
        <f>'бюджет округа (района)'!AS70+'бюджеты поселений'!AS70</f>
        <v>0</v>
      </c>
      <c r="CJ70" s="137">
        <f>'бюджет округа (района)'!AS70</f>
        <v>0</v>
      </c>
      <c r="CK70" s="134"/>
      <c r="CL70" s="134"/>
      <c r="CM70" s="135">
        <f t="shared" si="363"/>
        <v>1</v>
      </c>
      <c r="CN70" s="135">
        <f t="shared" si="363"/>
        <v>1</v>
      </c>
      <c r="CO70" s="134">
        <f>'бюджет округа (района)'!AV70+'бюджеты поселений'!AV70</f>
        <v>0</v>
      </c>
      <c r="CP70" s="137">
        <f>'бюджет округа (района)'!AV70</f>
        <v>0</v>
      </c>
      <c r="CQ70" s="134"/>
      <c r="CR70" s="134"/>
      <c r="CS70" s="135">
        <f t="shared" si="364"/>
        <v>1</v>
      </c>
      <c r="CT70" s="135">
        <f t="shared" si="364"/>
        <v>1</v>
      </c>
      <c r="CU70" s="134">
        <f>'бюджет округа (района)'!AY70+'бюджеты поселений'!AY70</f>
        <v>0</v>
      </c>
      <c r="CV70" s="137">
        <f>'бюджет округа (района)'!AY70</f>
        <v>0</v>
      </c>
      <c r="CW70" s="134"/>
      <c r="CX70" s="134"/>
      <c r="CY70" s="135">
        <f t="shared" si="365"/>
        <v>1</v>
      </c>
      <c r="CZ70" s="135">
        <f t="shared" si="365"/>
        <v>1</v>
      </c>
      <c r="DA70" s="134">
        <f>'бюджет округа (района)'!BB70+'бюджеты поселений'!BB70</f>
        <v>0</v>
      </c>
      <c r="DB70" s="137">
        <f>'бюджет округа (района)'!BB70</f>
        <v>0</v>
      </c>
      <c r="DC70" s="134"/>
      <c r="DD70" s="134"/>
      <c r="DE70" s="135">
        <f t="shared" si="366"/>
        <v>1</v>
      </c>
      <c r="DF70" s="135">
        <f t="shared" si="366"/>
        <v>1</v>
      </c>
      <c r="DG70" s="134">
        <f>'бюджет округа (района)'!BE70+'бюджеты поселений'!BE70</f>
        <v>0</v>
      </c>
      <c r="DH70" s="137">
        <f>'бюджет округа (района)'!BE70</f>
        <v>0</v>
      </c>
      <c r="DI70" s="134"/>
      <c r="DJ70" s="134"/>
      <c r="DK70" s="135">
        <f t="shared" si="367"/>
        <v>1</v>
      </c>
      <c r="DL70" s="135">
        <f t="shared" si="367"/>
        <v>1</v>
      </c>
      <c r="DM70" s="134">
        <f>'бюджет округа (района)'!BH70+'бюджеты поселений'!BH70</f>
        <v>0</v>
      </c>
      <c r="DN70" s="137">
        <f>'бюджет округа (района)'!BH70</f>
        <v>0</v>
      </c>
      <c r="DO70" s="134">
        <f>'бюджет округа (района)'!BI70+'бюджеты поселений'!BI70</f>
        <v>0</v>
      </c>
      <c r="DP70" s="137">
        <f>'бюджет округа (района)'!BI70</f>
        <v>0</v>
      </c>
      <c r="DQ70" s="134">
        <f>'бюджет округа (района)'!BJ70+'бюджеты поселений'!BJ70</f>
        <v>0</v>
      </c>
      <c r="DR70" s="137">
        <f>'бюджет округа (района)'!BJ70</f>
        <v>0</v>
      </c>
      <c r="DS70" s="135">
        <f t="shared" si="368"/>
        <v>1</v>
      </c>
      <c r="DT70" s="135">
        <f t="shared" si="369"/>
        <v>1</v>
      </c>
      <c r="DU70" s="135">
        <f t="shared" si="370"/>
        <v>1</v>
      </c>
      <c r="DV70" s="135">
        <f t="shared" si="370"/>
        <v>1</v>
      </c>
      <c r="DW70" s="167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8.75" hidden="1" customHeight="1">
      <c r="A71" s="33"/>
      <c r="B71" s="174"/>
      <c r="C71" s="134">
        <f>'бюджет округа (района)'!C71+'бюджеты поселений'!C71</f>
        <v>0</v>
      </c>
      <c r="D71" s="137">
        <f>'бюджет округа (района)'!C71</f>
        <v>0</v>
      </c>
      <c r="E71" s="134">
        <f t="shared" si="371"/>
        <v>0</v>
      </c>
      <c r="F71" s="137">
        <f t="shared" si="371"/>
        <v>0</v>
      </c>
      <c r="G71" s="134">
        <f>'бюджет округа (района)'!E71+'бюджеты поселений'!E71</f>
        <v>0</v>
      </c>
      <c r="H71" s="137">
        <f>'бюджет округа (района)'!E71</f>
        <v>0</v>
      </c>
      <c r="I71" s="134">
        <f>'бюджет округа (района)'!F71+'бюджеты поселений'!F71</f>
        <v>0</v>
      </c>
      <c r="J71" s="137">
        <f>'бюджет округа (района)'!F71</f>
        <v>0</v>
      </c>
      <c r="K71" s="134">
        <f t="shared" si="356"/>
        <v>0</v>
      </c>
      <c r="L71" s="134">
        <f t="shared" si="356"/>
        <v>0</v>
      </c>
      <c r="M71" s="134">
        <f>'бюджет округа (района)'!H71+'бюджеты поселений'!H71</f>
        <v>0</v>
      </c>
      <c r="N71" s="137">
        <f>'бюджет округа (района)'!H71</f>
        <v>0</v>
      </c>
      <c r="O71" s="134"/>
      <c r="P71" s="134"/>
      <c r="Q71" s="134">
        <f>'бюджет округа (района)'!J71+'бюджеты поселений'!J71</f>
        <v>0</v>
      </c>
      <c r="R71" s="137">
        <f>'бюджет округа (района)'!J71</f>
        <v>0</v>
      </c>
      <c r="S71" s="134"/>
      <c r="T71" s="134"/>
      <c r="U71" s="134">
        <f>'бюджет округа (района)'!L71+'бюджеты поселений'!L71</f>
        <v>0</v>
      </c>
      <c r="V71" s="137">
        <f>'бюджет округа (района)'!L71</f>
        <v>0</v>
      </c>
      <c r="W71" s="134"/>
      <c r="X71" s="134"/>
      <c r="Y71" s="134">
        <f>'бюджет округа (района)'!N71+'бюджеты поселений'!N71</f>
        <v>0</v>
      </c>
      <c r="Z71" s="137">
        <f>'бюджет округа (района)'!N71</f>
        <v>0</v>
      </c>
      <c r="AA71" s="134"/>
      <c r="AB71" s="134"/>
      <c r="AC71" s="134">
        <f>'бюджет округа (района)'!P71+'бюджеты поселений'!P71</f>
        <v>0</v>
      </c>
      <c r="AD71" s="137">
        <f>'бюджет округа (района)'!P71</f>
        <v>0</v>
      </c>
      <c r="AE71" s="134"/>
      <c r="AF71" s="134"/>
      <c r="AG71" s="134">
        <f>'бюджет округа (района)'!R71+'бюджеты поселений'!R71</f>
        <v>0</v>
      </c>
      <c r="AH71" s="137">
        <f>'бюджет округа (района)'!R71</f>
        <v>0</v>
      </c>
      <c r="AI71" s="134"/>
      <c r="AJ71" s="134"/>
      <c r="AK71" s="134">
        <f>'бюджет округа (района)'!T71+'бюджеты поселений'!T71</f>
        <v>0</v>
      </c>
      <c r="AL71" s="137">
        <f>'бюджет округа (района)'!T71</f>
        <v>0</v>
      </c>
      <c r="AM71" s="134"/>
      <c r="AN71" s="134"/>
      <c r="AO71" s="134">
        <f>'бюджет округа (района)'!V71+'бюджеты поселений'!V71</f>
        <v>0</v>
      </c>
      <c r="AP71" s="137">
        <f>'бюджет округа (района)'!V71</f>
        <v>0</v>
      </c>
      <c r="AQ71" s="134"/>
      <c r="AR71" s="134"/>
      <c r="AS71" s="134">
        <f>'бюджет округа (района)'!X71+'бюджеты поселений'!X71</f>
        <v>0</v>
      </c>
      <c r="AT71" s="137">
        <f>'бюджет округа (района)'!X71</f>
        <v>0</v>
      </c>
      <c r="AU71" s="134"/>
      <c r="AV71" s="134"/>
      <c r="AW71" s="134">
        <f>'бюджет округа (района)'!Z71+'бюджеты поселений'!Z71</f>
        <v>0</v>
      </c>
      <c r="AX71" s="137">
        <f>'бюджет округа (района)'!Z71</f>
        <v>0</v>
      </c>
      <c r="AY71" s="134">
        <f>'бюджет округа (района)'!AA71+'бюджеты поселений'!AA71</f>
        <v>0</v>
      </c>
      <c r="AZ71" s="137">
        <f>'бюджет округа (района)'!AA71</f>
        <v>0</v>
      </c>
      <c r="BA71" s="135">
        <f t="shared" si="355"/>
        <v>1</v>
      </c>
      <c r="BB71" s="135">
        <f t="shared" si="355"/>
        <v>1</v>
      </c>
      <c r="BC71" s="134">
        <f>'бюджет округа (района)'!AC71+'бюджеты поселений'!AC71</f>
        <v>0</v>
      </c>
      <c r="BD71" s="137">
        <f>'бюджет округа (района)'!AC71</f>
        <v>0</v>
      </c>
      <c r="BE71" s="134">
        <f>'бюджет округа (района)'!AD71+'бюджеты поселений'!AD71</f>
        <v>0</v>
      </c>
      <c r="BF71" s="137">
        <f>'бюджет округа (района)'!AD71</f>
        <v>0</v>
      </c>
      <c r="BG71" s="134">
        <f t="shared" si="357"/>
        <v>0</v>
      </c>
      <c r="BH71" s="134">
        <f t="shared" si="357"/>
        <v>0</v>
      </c>
      <c r="BI71" s="135">
        <f t="shared" si="358"/>
        <v>1</v>
      </c>
      <c r="BJ71" s="135">
        <f t="shared" si="358"/>
        <v>1</v>
      </c>
      <c r="BK71" s="134">
        <f>'бюджет округа (района)'!AG71+'бюджеты поселений'!AG71</f>
        <v>0</v>
      </c>
      <c r="BL71" s="137">
        <f>'бюджет округа (района)'!AG71</f>
        <v>0</v>
      </c>
      <c r="BM71" s="134"/>
      <c r="BN71" s="134"/>
      <c r="BO71" s="135">
        <f t="shared" si="359"/>
        <v>1</v>
      </c>
      <c r="BP71" s="135">
        <f t="shared" si="359"/>
        <v>1</v>
      </c>
      <c r="BQ71" s="134">
        <f>'бюджет округа (района)'!AJ71+'бюджеты поселений'!AJ71</f>
        <v>0</v>
      </c>
      <c r="BR71" s="137">
        <f>'бюджет округа (района)'!AJ71</f>
        <v>0</v>
      </c>
      <c r="BS71" s="134"/>
      <c r="BT71" s="134"/>
      <c r="BU71" s="135">
        <f t="shared" si="360"/>
        <v>1</v>
      </c>
      <c r="BV71" s="135">
        <f t="shared" si="360"/>
        <v>1</v>
      </c>
      <c r="BW71" s="134">
        <f>'бюджет округа (района)'!AM71+'бюджеты поселений'!AM71</f>
        <v>0</v>
      </c>
      <c r="BX71" s="137">
        <f>'бюджет округа (района)'!AM71</f>
        <v>0</v>
      </c>
      <c r="BY71" s="134"/>
      <c r="BZ71" s="134"/>
      <c r="CA71" s="135">
        <f t="shared" si="361"/>
        <v>1</v>
      </c>
      <c r="CB71" s="135">
        <f t="shared" si="361"/>
        <v>1</v>
      </c>
      <c r="CC71" s="134">
        <f>'бюджет округа (района)'!AP71+'бюджеты поселений'!AP71</f>
        <v>0</v>
      </c>
      <c r="CD71" s="137">
        <f>'бюджет округа (района)'!AP71</f>
        <v>0</v>
      </c>
      <c r="CE71" s="134"/>
      <c r="CF71" s="134"/>
      <c r="CG71" s="135">
        <f t="shared" si="362"/>
        <v>1</v>
      </c>
      <c r="CH71" s="135">
        <f t="shared" si="362"/>
        <v>1</v>
      </c>
      <c r="CI71" s="134">
        <f>'бюджет округа (района)'!AS71+'бюджеты поселений'!AS71</f>
        <v>0</v>
      </c>
      <c r="CJ71" s="137">
        <f>'бюджет округа (района)'!AS71</f>
        <v>0</v>
      </c>
      <c r="CK71" s="134"/>
      <c r="CL71" s="134"/>
      <c r="CM71" s="135">
        <f t="shared" si="363"/>
        <v>1</v>
      </c>
      <c r="CN71" s="135">
        <f t="shared" si="363"/>
        <v>1</v>
      </c>
      <c r="CO71" s="134">
        <f>'бюджет округа (района)'!AV71+'бюджеты поселений'!AV71</f>
        <v>0</v>
      </c>
      <c r="CP71" s="137">
        <f>'бюджет округа (района)'!AV71</f>
        <v>0</v>
      </c>
      <c r="CQ71" s="134"/>
      <c r="CR71" s="134"/>
      <c r="CS71" s="135">
        <f t="shared" si="364"/>
        <v>1</v>
      </c>
      <c r="CT71" s="135">
        <f t="shared" si="364"/>
        <v>1</v>
      </c>
      <c r="CU71" s="134">
        <f>'бюджет округа (района)'!AY71+'бюджеты поселений'!AY71</f>
        <v>0</v>
      </c>
      <c r="CV71" s="137">
        <f>'бюджет округа (района)'!AY71</f>
        <v>0</v>
      </c>
      <c r="CW71" s="134"/>
      <c r="CX71" s="134"/>
      <c r="CY71" s="135">
        <f t="shared" si="365"/>
        <v>1</v>
      </c>
      <c r="CZ71" s="135">
        <f t="shared" si="365"/>
        <v>1</v>
      </c>
      <c r="DA71" s="134">
        <f>'бюджет округа (района)'!BB71+'бюджеты поселений'!BB71</f>
        <v>0</v>
      </c>
      <c r="DB71" s="137">
        <f>'бюджет округа (района)'!BB71</f>
        <v>0</v>
      </c>
      <c r="DC71" s="134"/>
      <c r="DD71" s="134"/>
      <c r="DE71" s="135">
        <f t="shared" si="366"/>
        <v>1</v>
      </c>
      <c r="DF71" s="135">
        <f t="shared" si="366"/>
        <v>1</v>
      </c>
      <c r="DG71" s="134">
        <f>'бюджет округа (района)'!BE71+'бюджеты поселений'!BE71</f>
        <v>0</v>
      </c>
      <c r="DH71" s="137">
        <f>'бюджет округа (района)'!BE71</f>
        <v>0</v>
      </c>
      <c r="DI71" s="134"/>
      <c r="DJ71" s="134"/>
      <c r="DK71" s="135">
        <f t="shared" si="367"/>
        <v>1</v>
      </c>
      <c r="DL71" s="135">
        <f t="shared" si="367"/>
        <v>1</v>
      </c>
      <c r="DM71" s="134">
        <f>'бюджет округа (района)'!BH71+'бюджеты поселений'!BH71</f>
        <v>0</v>
      </c>
      <c r="DN71" s="137">
        <f>'бюджет округа (района)'!BH71</f>
        <v>0</v>
      </c>
      <c r="DO71" s="134">
        <f>'бюджет округа (района)'!BI71+'бюджеты поселений'!BI71</f>
        <v>0</v>
      </c>
      <c r="DP71" s="137">
        <f>'бюджет округа (района)'!BI71</f>
        <v>0</v>
      </c>
      <c r="DQ71" s="134">
        <f>'бюджет округа (района)'!BJ71+'бюджеты поселений'!BJ71</f>
        <v>0</v>
      </c>
      <c r="DR71" s="137">
        <f>'бюджет округа (района)'!BJ71</f>
        <v>0</v>
      </c>
      <c r="DS71" s="135">
        <f t="shared" si="368"/>
        <v>1</v>
      </c>
      <c r="DT71" s="135">
        <f t="shared" si="369"/>
        <v>1</v>
      </c>
      <c r="DU71" s="135">
        <f t="shared" si="370"/>
        <v>1</v>
      </c>
      <c r="DV71" s="135">
        <f t="shared" si="370"/>
        <v>1</v>
      </c>
      <c r="DW71" s="167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.75" hidden="1" customHeight="1">
      <c r="A72" s="33"/>
      <c r="B72" s="174"/>
      <c r="C72" s="134">
        <f>'бюджет округа (района)'!C72+'бюджеты поселений'!C72</f>
        <v>0</v>
      </c>
      <c r="D72" s="137">
        <f>'бюджет округа (района)'!C72</f>
        <v>0</v>
      </c>
      <c r="E72" s="134">
        <f t="shared" si="371"/>
        <v>0</v>
      </c>
      <c r="F72" s="137">
        <f t="shared" si="371"/>
        <v>0</v>
      </c>
      <c r="G72" s="134">
        <f>'бюджет округа (района)'!E72+'бюджеты поселений'!E72</f>
        <v>0</v>
      </c>
      <c r="H72" s="137">
        <f>'бюджет округа (района)'!E72</f>
        <v>0</v>
      </c>
      <c r="I72" s="134">
        <f>'бюджет округа (района)'!F72+'бюджеты поселений'!F72</f>
        <v>0</v>
      </c>
      <c r="J72" s="137">
        <f>'бюджет округа (района)'!F72</f>
        <v>0</v>
      </c>
      <c r="K72" s="134">
        <f t="shared" si="356"/>
        <v>0</v>
      </c>
      <c r="L72" s="134">
        <f t="shared" si="356"/>
        <v>0</v>
      </c>
      <c r="M72" s="134">
        <f>'бюджет округа (района)'!H72+'бюджеты поселений'!H72</f>
        <v>0</v>
      </c>
      <c r="N72" s="137">
        <f>'бюджет округа (района)'!H72</f>
        <v>0</v>
      </c>
      <c r="O72" s="134"/>
      <c r="P72" s="134"/>
      <c r="Q72" s="134">
        <f>'бюджет округа (района)'!J72+'бюджеты поселений'!J72</f>
        <v>0</v>
      </c>
      <c r="R72" s="137">
        <f>'бюджет округа (района)'!J72</f>
        <v>0</v>
      </c>
      <c r="S72" s="134"/>
      <c r="T72" s="134"/>
      <c r="U72" s="134">
        <f>'бюджет округа (района)'!L72+'бюджеты поселений'!L72</f>
        <v>0</v>
      </c>
      <c r="V72" s="137">
        <f>'бюджет округа (района)'!L72</f>
        <v>0</v>
      </c>
      <c r="W72" s="134"/>
      <c r="X72" s="134"/>
      <c r="Y72" s="134">
        <f>'бюджет округа (района)'!N72+'бюджеты поселений'!N72</f>
        <v>0</v>
      </c>
      <c r="Z72" s="137">
        <f>'бюджет округа (района)'!N72</f>
        <v>0</v>
      </c>
      <c r="AA72" s="134"/>
      <c r="AB72" s="134"/>
      <c r="AC72" s="134">
        <f>'бюджет округа (района)'!P72+'бюджеты поселений'!P72</f>
        <v>0</v>
      </c>
      <c r="AD72" s="137">
        <f>'бюджет округа (района)'!P72</f>
        <v>0</v>
      </c>
      <c r="AE72" s="134"/>
      <c r="AF72" s="134"/>
      <c r="AG72" s="134">
        <f>'бюджет округа (района)'!R72+'бюджеты поселений'!R72</f>
        <v>0</v>
      </c>
      <c r="AH72" s="137">
        <f>'бюджет округа (района)'!R72</f>
        <v>0</v>
      </c>
      <c r="AI72" s="134"/>
      <c r="AJ72" s="134"/>
      <c r="AK72" s="134">
        <f>'бюджет округа (района)'!T72+'бюджеты поселений'!T72</f>
        <v>0</v>
      </c>
      <c r="AL72" s="137">
        <f>'бюджет округа (района)'!T72</f>
        <v>0</v>
      </c>
      <c r="AM72" s="134"/>
      <c r="AN72" s="134"/>
      <c r="AO72" s="134">
        <f>'бюджет округа (района)'!V72+'бюджеты поселений'!V72</f>
        <v>0</v>
      </c>
      <c r="AP72" s="137">
        <f>'бюджет округа (района)'!V72</f>
        <v>0</v>
      </c>
      <c r="AQ72" s="134"/>
      <c r="AR72" s="134"/>
      <c r="AS72" s="134">
        <f>'бюджет округа (района)'!X72+'бюджеты поселений'!X72</f>
        <v>0</v>
      </c>
      <c r="AT72" s="137">
        <f>'бюджет округа (района)'!X72</f>
        <v>0</v>
      </c>
      <c r="AU72" s="134"/>
      <c r="AV72" s="134"/>
      <c r="AW72" s="134">
        <f>'бюджет округа (района)'!Z72+'бюджеты поселений'!Z72</f>
        <v>0</v>
      </c>
      <c r="AX72" s="137">
        <f>'бюджет округа (района)'!Z72</f>
        <v>0</v>
      </c>
      <c r="AY72" s="134">
        <f>'бюджет округа (района)'!AA72+'бюджеты поселений'!AA72</f>
        <v>0</v>
      </c>
      <c r="AZ72" s="137">
        <f>'бюджет округа (района)'!AA72</f>
        <v>0</v>
      </c>
      <c r="BA72" s="135">
        <f t="shared" si="355"/>
        <v>1</v>
      </c>
      <c r="BB72" s="135">
        <f t="shared" si="355"/>
        <v>1</v>
      </c>
      <c r="BC72" s="134">
        <f>'бюджет округа (района)'!AC72+'бюджеты поселений'!AC72</f>
        <v>0</v>
      </c>
      <c r="BD72" s="137">
        <f>'бюджет округа (района)'!AC72</f>
        <v>0</v>
      </c>
      <c r="BE72" s="134">
        <f>'бюджет округа (района)'!AD72+'бюджеты поселений'!AD72</f>
        <v>0</v>
      </c>
      <c r="BF72" s="137">
        <f>'бюджет округа (района)'!AD72</f>
        <v>0</v>
      </c>
      <c r="BG72" s="134">
        <f t="shared" si="357"/>
        <v>0</v>
      </c>
      <c r="BH72" s="134">
        <f t="shared" si="357"/>
        <v>0</v>
      </c>
      <c r="BI72" s="135">
        <f t="shared" si="358"/>
        <v>1</v>
      </c>
      <c r="BJ72" s="135">
        <f t="shared" si="358"/>
        <v>1</v>
      </c>
      <c r="BK72" s="134">
        <f>'бюджет округа (района)'!AG72+'бюджеты поселений'!AG72</f>
        <v>0</v>
      </c>
      <c r="BL72" s="137">
        <f>'бюджет округа (района)'!AG72</f>
        <v>0</v>
      </c>
      <c r="BM72" s="134"/>
      <c r="BN72" s="134"/>
      <c r="BO72" s="135">
        <f t="shared" si="359"/>
        <v>1</v>
      </c>
      <c r="BP72" s="135">
        <f t="shared" si="359"/>
        <v>1</v>
      </c>
      <c r="BQ72" s="134">
        <f>'бюджет округа (района)'!AJ72+'бюджеты поселений'!AJ72</f>
        <v>0</v>
      </c>
      <c r="BR72" s="137">
        <f>'бюджет округа (района)'!AJ72</f>
        <v>0</v>
      </c>
      <c r="BS72" s="134"/>
      <c r="BT72" s="134"/>
      <c r="BU72" s="135">
        <f t="shared" si="360"/>
        <v>1</v>
      </c>
      <c r="BV72" s="135">
        <f t="shared" si="360"/>
        <v>1</v>
      </c>
      <c r="BW72" s="134">
        <f>'бюджет округа (района)'!AM72+'бюджеты поселений'!AM72</f>
        <v>0</v>
      </c>
      <c r="BX72" s="137">
        <f>'бюджет округа (района)'!AM72</f>
        <v>0</v>
      </c>
      <c r="BY72" s="134"/>
      <c r="BZ72" s="134"/>
      <c r="CA72" s="135">
        <f t="shared" si="361"/>
        <v>1</v>
      </c>
      <c r="CB72" s="135">
        <f t="shared" si="361"/>
        <v>1</v>
      </c>
      <c r="CC72" s="134">
        <f>'бюджет округа (района)'!AP72+'бюджеты поселений'!AP72</f>
        <v>0</v>
      </c>
      <c r="CD72" s="137">
        <f>'бюджет округа (района)'!AP72</f>
        <v>0</v>
      </c>
      <c r="CE72" s="134"/>
      <c r="CF72" s="134"/>
      <c r="CG72" s="135">
        <f t="shared" si="362"/>
        <v>1</v>
      </c>
      <c r="CH72" s="135">
        <f t="shared" si="362"/>
        <v>1</v>
      </c>
      <c r="CI72" s="134">
        <f>'бюджет округа (района)'!AS72+'бюджеты поселений'!AS72</f>
        <v>0</v>
      </c>
      <c r="CJ72" s="137">
        <f>'бюджет округа (района)'!AS72</f>
        <v>0</v>
      </c>
      <c r="CK72" s="134"/>
      <c r="CL72" s="134"/>
      <c r="CM72" s="135">
        <f t="shared" si="363"/>
        <v>1</v>
      </c>
      <c r="CN72" s="135">
        <f t="shared" si="363"/>
        <v>1</v>
      </c>
      <c r="CO72" s="134">
        <f>'бюджет округа (района)'!AV72+'бюджеты поселений'!AV72</f>
        <v>0</v>
      </c>
      <c r="CP72" s="137">
        <f>'бюджет округа (района)'!AV72</f>
        <v>0</v>
      </c>
      <c r="CQ72" s="134"/>
      <c r="CR72" s="134"/>
      <c r="CS72" s="135">
        <f t="shared" si="364"/>
        <v>1</v>
      </c>
      <c r="CT72" s="135">
        <f t="shared" si="364"/>
        <v>1</v>
      </c>
      <c r="CU72" s="134">
        <f>'бюджет округа (района)'!AY72+'бюджеты поселений'!AY72</f>
        <v>0</v>
      </c>
      <c r="CV72" s="137">
        <f>'бюджет округа (района)'!AY72</f>
        <v>0</v>
      </c>
      <c r="CW72" s="134"/>
      <c r="CX72" s="134"/>
      <c r="CY72" s="135">
        <f t="shared" si="365"/>
        <v>1</v>
      </c>
      <c r="CZ72" s="135">
        <f t="shared" si="365"/>
        <v>1</v>
      </c>
      <c r="DA72" s="134">
        <f>'бюджет округа (района)'!BB72+'бюджеты поселений'!BB72</f>
        <v>0</v>
      </c>
      <c r="DB72" s="137">
        <f>'бюджет округа (района)'!BB72</f>
        <v>0</v>
      </c>
      <c r="DC72" s="134"/>
      <c r="DD72" s="134"/>
      <c r="DE72" s="135">
        <f t="shared" si="366"/>
        <v>1</v>
      </c>
      <c r="DF72" s="135">
        <f t="shared" si="366"/>
        <v>1</v>
      </c>
      <c r="DG72" s="134">
        <f>'бюджет округа (района)'!BE72+'бюджеты поселений'!BE72</f>
        <v>0</v>
      </c>
      <c r="DH72" s="137">
        <f>'бюджет округа (района)'!BE72</f>
        <v>0</v>
      </c>
      <c r="DI72" s="134"/>
      <c r="DJ72" s="134"/>
      <c r="DK72" s="135">
        <f t="shared" si="367"/>
        <v>1</v>
      </c>
      <c r="DL72" s="135">
        <f t="shared" si="367"/>
        <v>1</v>
      </c>
      <c r="DM72" s="134">
        <f>'бюджет округа (района)'!BH72+'бюджеты поселений'!BH72</f>
        <v>0</v>
      </c>
      <c r="DN72" s="137">
        <f>'бюджет округа (района)'!BH72</f>
        <v>0</v>
      </c>
      <c r="DO72" s="134">
        <f>'бюджет округа (района)'!BI72+'бюджеты поселений'!BI72</f>
        <v>0</v>
      </c>
      <c r="DP72" s="137">
        <f>'бюджет округа (района)'!BI72</f>
        <v>0</v>
      </c>
      <c r="DQ72" s="134">
        <f>'бюджет округа (района)'!BJ72+'бюджеты поселений'!BJ72</f>
        <v>0</v>
      </c>
      <c r="DR72" s="137">
        <f>'бюджет округа (района)'!BJ72</f>
        <v>0</v>
      </c>
      <c r="DS72" s="135">
        <f t="shared" si="368"/>
        <v>1</v>
      </c>
      <c r="DT72" s="135">
        <f t="shared" si="369"/>
        <v>1</v>
      </c>
      <c r="DU72" s="135">
        <f t="shared" si="370"/>
        <v>1</v>
      </c>
      <c r="DV72" s="135">
        <f t="shared" si="370"/>
        <v>1</v>
      </c>
      <c r="DW72" s="167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8.75" hidden="1" customHeight="1">
      <c r="A73" s="33"/>
      <c r="B73" s="174"/>
      <c r="C73" s="134">
        <f>'бюджет округа (района)'!C73+'бюджеты поселений'!C73</f>
        <v>0</v>
      </c>
      <c r="D73" s="137">
        <f>'бюджет округа (района)'!C73</f>
        <v>0</v>
      </c>
      <c r="E73" s="134">
        <f t="shared" si="371"/>
        <v>0</v>
      </c>
      <c r="F73" s="137">
        <f t="shared" si="371"/>
        <v>0</v>
      </c>
      <c r="G73" s="134">
        <f>'бюджет округа (района)'!E73+'бюджеты поселений'!E73</f>
        <v>0</v>
      </c>
      <c r="H73" s="137">
        <f>'бюджет округа (района)'!E73</f>
        <v>0</v>
      </c>
      <c r="I73" s="134">
        <f>'бюджет округа (района)'!F73+'бюджеты поселений'!F73</f>
        <v>0</v>
      </c>
      <c r="J73" s="137">
        <f>'бюджет округа (района)'!F73</f>
        <v>0</v>
      </c>
      <c r="K73" s="134">
        <f t="shared" si="356"/>
        <v>0</v>
      </c>
      <c r="L73" s="134">
        <f t="shared" si="356"/>
        <v>0</v>
      </c>
      <c r="M73" s="134">
        <f>'бюджет округа (района)'!H73+'бюджеты поселений'!H73</f>
        <v>0</v>
      </c>
      <c r="N73" s="137">
        <f>'бюджет округа (района)'!H73</f>
        <v>0</v>
      </c>
      <c r="O73" s="134"/>
      <c r="P73" s="134"/>
      <c r="Q73" s="134">
        <f>'бюджет округа (района)'!J73+'бюджеты поселений'!J73</f>
        <v>0</v>
      </c>
      <c r="R73" s="137">
        <f>'бюджет округа (района)'!J73</f>
        <v>0</v>
      </c>
      <c r="S73" s="134"/>
      <c r="T73" s="134"/>
      <c r="U73" s="134">
        <f>'бюджет округа (района)'!L73+'бюджеты поселений'!L73</f>
        <v>0</v>
      </c>
      <c r="V73" s="137">
        <f>'бюджет округа (района)'!L73</f>
        <v>0</v>
      </c>
      <c r="W73" s="134"/>
      <c r="X73" s="134"/>
      <c r="Y73" s="134">
        <f>'бюджет округа (района)'!N73+'бюджеты поселений'!N73</f>
        <v>0</v>
      </c>
      <c r="Z73" s="137">
        <f>'бюджет округа (района)'!N73</f>
        <v>0</v>
      </c>
      <c r="AA73" s="134"/>
      <c r="AB73" s="134"/>
      <c r="AC73" s="134">
        <f>'бюджет округа (района)'!P73+'бюджеты поселений'!P73</f>
        <v>0</v>
      </c>
      <c r="AD73" s="137">
        <f>'бюджет округа (района)'!P73</f>
        <v>0</v>
      </c>
      <c r="AE73" s="134"/>
      <c r="AF73" s="134"/>
      <c r="AG73" s="134">
        <f>'бюджет округа (района)'!R73+'бюджеты поселений'!R73</f>
        <v>0</v>
      </c>
      <c r="AH73" s="137">
        <f>'бюджет округа (района)'!R73</f>
        <v>0</v>
      </c>
      <c r="AI73" s="134"/>
      <c r="AJ73" s="134"/>
      <c r="AK73" s="134">
        <f>'бюджет округа (района)'!T73+'бюджеты поселений'!T73</f>
        <v>0</v>
      </c>
      <c r="AL73" s="137">
        <f>'бюджет округа (района)'!T73</f>
        <v>0</v>
      </c>
      <c r="AM73" s="134"/>
      <c r="AN73" s="134"/>
      <c r="AO73" s="134">
        <f>'бюджет округа (района)'!V73+'бюджеты поселений'!V73</f>
        <v>0</v>
      </c>
      <c r="AP73" s="137">
        <f>'бюджет округа (района)'!V73</f>
        <v>0</v>
      </c>
      <c r="AQ73" s="134"/>
      <c r="AR73" s="134"/>
      <c r="AS73" s="134">
        <f>'бюджет округа (района)'!X73+'бюджеты поселений'!X73</f>
        <v>0</v>
      </c>
      <c r="AT73" s="137">
        <f>'бюджет округа (района)'!X73</f>
        <v>0</v>
      </c>
      <c r="AU73" s="134"/>
      <c r="AV73" s="134"/>
      <c r="AW73" s="134">
        <f>'бюджет округа (района)'!Z73+'бюджеты поселений'!Z73</f>
        <v>0</v>
      </c>
      <c r="AX73" s="137">
        <f>'бюджет округа (района)'!Z73</f>
        <v>0</v>
      </c>
      <c r="AY73" s="134">
        <f>'бюджет округа (района)'!AA73+'бюджеты поселений'!AA73</f>
        <v>0</v>
      </c>
      <c r="AZ73" s="137">
        <f>'бюджет округа (района)'!AA73</f>
        <v>0</v>
      </c>
      <c r="BA73" s="135">
        <f t="shared" si="355"/>
        <v>1</v>
      </c>
      <c r="BB73" s="135">
        <f t="shared" si="355"/>
        <v>1</v>
      </c>
      <c r="BC73" s="134">
        <f>'бюджет округа (района)'!AC73+'бюджеты поселений'!AC73</f>
        <v>0</v>
      </c>
      <c r="BD73" s="137">
        <f>'бюджет округа (района)'!AC73</f>
        <v>0</v>
      </c>
      <c r="BE73" s="134">
        <f>'бюджет округа (района)'!AD73+'бюджеты поселений'!AD73</f>
        <v>0</v>
      </c>
      <c r="BF73" s="137">
        <f>'бюджет округа (района)'!AD73</f>
        <v>0</v>
      </c>
      <c r="BG73" s="134">
        <f t="shared" si="357"/>
        <v>0</v>
      </c>
      <c r="BH73" s="134">
        <f t="shared" si="357"/>
        <v>0</v>
      </c>
      <c r="BI73" s="135">
        <f t="shared" si="358"/>
        <v>1</v>
      </c>
      <c r="BJ73" s="135">
        <f t="shared" si="358"/>
        <v>1</v>
      </c>
      <c r="BK73" s="134">
        <f>'бюджет округа (района)'!AG73+'бюджеты поселений'!AG73</f>
        <v>0</v>
      </c>
      <c r="BL73" s="137">
        <f>'бюджет округа (района)'!AG73</f>
        <v>0</v>
      </c>
      <c r="BM73" s="134"/>
      <c r="BN73" s="134"/>
      <c r="BO73" s="135">
        <f t="shared" si="359"/>
        <v>1</v>
      </c>
      <c r="BP73" s="135">
        <f t="shared" si="359"/>
        <v>1</v>
      </c>
      <c r="BQ73" s="134">
        <f>'бюджет округа (района)'!AJ73+'бюджеты поселений'!AJ73</f>
        <v>0</v>
      </c>
      <c r="BR73" s="137">
        <f>'бюджет округа (района)'!AJ73</f>
        <v>0</v>
      </c>
      <c r="BS73" s="134"/>
      <c r="BT73" s="134"/>
      <c r="BU73" s="135">
        <f t="shared" si="360"/>
        <v>1</v>
      </c>
      <c r="BV73" s="135">
        <f t="shared" si="360"/>
        <v>1</v>
      </c>
      <c r="BW73" s="134">
        <f>'бюджет округа (района)'!AM73+'бюджеты поселений'!AM73</f>
        <v>0</v>
      </c>
      <c r="BX73" s="137">
        <f>'бюджет округа (района)'!AM73</f>
        <v>0</v>
      </c>
      <c r="BY73" s="134"/>
      <c r="BZ73" s="134"/>
      <c r="CA73" s="135">
        <f t="shared" si="361"/>
        <v>1</v>
      </c>
      <c r="CB73" s="135">
        <f t="shared" si="361"/>
        <v>1</v>
      </c>
      <c r="CC73" s="134">
        <f>'бюджет округа (района)'!AP73+'бюджеты поселений'!AP73</f>
        <v>0</v>
      </c>
      <c r="CD73" s="137">
        <f>'бюджет округа (района)'!AP73</f>
        <v>0</v>
      </c>
      <c r="CE73" s="134"/>
      <c r="CF73" s="134"/>
      <c r="CG73" s="135">
        <f t="shared" si="362"/>
        <v>1</v>
      </c>
      <c r="CH73" s="135">
        <f t="shared" si="362"/>
        <v>1</v>
      </c>
      <c r="CI73" s="134">
        <f>'бюджет округа (района)'!AS73+'бюджеты поселений'!AS73</f>
        <v>0</v>
      </c>
      <c r="CJ73" s="137">
        <f>'бюджет округа (района)'!AS73</f>
        <v>0</v>
      </c>
      <c r="CK73" s="134"/>
      <c r="CL73" s="134"/>
      <c r="CM73" s="135">
        <f t="shared" si="363"/>
        <v>1</v>
      </c>
      <c r="CN73" s="135">
        <f t="shared" si="363"/>
        <v>1</v>
      </c>
      <c r="CO73" s="134">
        <f>'бюджет округа (района)'!AV73+'бюджеты поселений'!AV73</f>
        <v>0</v>
      </c>
      <c r="CP73" s="137">
        <f>'бюджет округа (района)'!AV73</f>
        <v>0</v>
      </c>
      <c r="CQ73" s="134"/>
      <c r="CR73" s="134"/>
      <c r="CS73" s="135">
        <f t="shared" si="364"/>
        <v>1</v>
      </c>
      <c r="CT73" s="135">
        <f t="shared" si="364"/>
        <v>1</v>
      </c>
      <c r="CU73" s="134">
        <f>'бюджет округа (района)'!AY73+'бюджеты поселений'!AY73</f>
        <v>0</v>
      </c>
      <c r="CV73" s="137">
        <f>'бюджет округа (района)'!AY73</f>
        <v>0</v>
      </c>
      <c r="CW73" s="134"/>
      <c r="CX73" s="134"/>
      <c r="CY73" s="135">
        <f t="shared" si="365"/>
        <v>1</v>
      </c>
      <c r="CZ73" s="135">
        <f t="shared" si="365"/>
        <v>1</v>
      </c>
      <c r="DA73" s="134">
        <f>'бюджет округа (района)'!BB73+'бюджеты поселений'!BB73</f>
        <v>0</v>
      </c>
      <c r="DB73" s="137">
        <f>'бюджет округа (района)'!BB73</f>
        <v>0</v>
      </c>
      <c r="DC73" s="134"/>
      <c r="DD73" s="134"/>
      <c r="DE73" s="135">
        <f t="shared" si="366"/>
        <v>1</v>
      </c>
      <c r="DF73" s="135">
        <f t="shared" si="366"/>
        <v>1</v>
      </c>
      <c r="DG73" s="134">
        <f>'бюджет округа (района)'!BE73+'бюджеты поселений'!BE73</f>
        <v>0</v>
      </c>
      <c r="DH73" s="137">
        <f>'бюджет округа (района)'!BE73</f>
        <v>0</v>
      </c>
      <c r="DI73" s="134"/>
      <c r="DJ73" s="134"/>
      <c r="DK73" s="135">
        <f t="shared" si="367"/>
        <v>1</v>
      </c>
      <c r="DL73" s="135">
        <f t="shared" si="367"/>
        <v>1</v>
      </c>
      <c r="DM73" s="134">
        <f>'бюджет округа (района)'!BH73+'бюджеты поселений'!BH73</f>
        <v>0</v>
      </c>
      <c r="DN73" s="137">
        <f>'бюджет округа (района)'!BH73</f>
        <v>0</v>
      </c>
      <c r="DO73" s="134">
        <f>'бюджет округа (района)'!BI73+'бюджеты поселений'!BI73</f>
        <v>0</v>
      </c>
      <c r="DP73" s="137">
        <f>'бюджет округа (района)'!BI73</f>
        <v>0</v>
      </c>
      <c r="DQ73" s="134">
        <f>'бюджет округа (района)'!BJ73+'бюджеты поселений'!BJ73</f>
        <v>0</v>
      </c>
      <c r="DR73" s="137">
        <f>'бюджет округа (района)'!BJ73</f>
        <v>0</v>
      </c>
      <c r="DS73" s="135">
        <f t="shared" si="368"/>
        <v>1</v>
      </c>
      <c r="DT73" s="135">
        <f t="shared" si="369"/>
        <v>1</v>
      </c>
      <c r="DU73" s="135">
        <f t="shared" si="370"/>
        <v>1</v>
      </c>
      <c r="DV73" s="135">
        <f t="shared" si="370"/>
        <v>1</v>
      </c>
      <c r="DW73" s="167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217" t="s">
        <v>50</v>
      </c>
      <c r="B74" s="218"/>
      <c r="C74" s="130">
        <f>C9-C37</f>
        <v>0</v>
      </c>
      <c r="D74" s="130">
        <f t="shared" ref="D74:AV74" si="372">D9-D37</f>
        <v>0</v>
      </c>
      <c r="E74" s="130">
        <f t="shared" si="372"/>
        <v>0</v>
      </c>
      <c r="F74" s="130">
        <f t="shared" si="372"/>
        <v>0</v>
      </c>
      <c r="G74" s="130">
        <f>G9-G37</f>
        <v>0</v>
      </c>
      <c r="H74" s="130">
        <f t="shared" ref="H74" si="373">H9-H37</f>
        <v>0</v>
      </c>
      <c r="I74" s="130">
        <f>I9-I37</f>
        <v>0</v>
      </c>
      <c r="J74" s="130">
        <f t="shared" ref="J74" si="374">J9-J37</f>
        <v>0</v>
      </c>
      <c r="K74" s="130">
        <f t="shared" si="372"/>
        <v>0</v>
      </c>
      <c r="L74" s="130">
        <f t="shared" si="372"/>
        <v>0</v>
      </c>
      <c r="M74" s="130">
        <f>M9-M37</f>
        <v>0</v>
      </c>
      <c r="N74" s="130">
        <f t="shared" ref="N74" si="375">N9-N37</f>
        <v>0</v>
      </c>
      <c r="O74" s="130">
        <f t="shared" si="372"/>
        <v>0</v>
      </c>
      <c r="P74" s="130">
        <f t="shared" si="372"/>
        <v>0</v>
      </c>
      <c r="Q74" s="130">
        <f>Q9-Q37</f>
        <v>0</v>
      </c>
      <c r="R74" s="130">
        <f t="shared" ref="R74" si="376">R9-R37</f>
        <v>0</v>
      </c>
      <c r="S74" s="130">
        <f t="shared" si="372"/>
        <v>0</v>
      </c>
      <c r="T74" s="130">
        <f t="shared" si="372"/>
        <v>0</v>
      </c>
      <c r="U74" s="130">
        <f>U9-U37</f>
        <v>0</v>
      </c>
      <c r="V74" s="130">
        <f t="shared" ref="V74" si="377">V9-V37</f>
        <v>0</v>
      </c>
      <c r="W74" s="130">
        <f t="shared" si="372"/>
        <v>0</v>
      </c>
      <c r="X74" s="130">
        <f t="shared" si="372"/>
        <v>0</v>
      </c>
      <c r="Y74" s="130">
        <f>Y9-Y37</f>
        <v>0</v>
      </c>
      <c r="Z74" s="130">
        <f t="shared" ref="Z74" si="378">Z9-Z37</f>
        <v>0</v>
      </c>
      <c r="AA74" s="130">
        <f t="shared" si="372"/>
        <v>0</v>
      </c>
      <c r="AB74" s="130">
        <f t="shared" si="372"/>
        <v>0</v>
      </c>
      <c r="AC74" s="130">
        <f>AC9-AC37</f>
        <v>0</v>
      </c>
      <c r="AD74" s="130">
        <f t="shared" ref="AD74" si="379">AD9-AD37</f>
        <v>0</v>
      </c>
      <c r="AE74" s="130">
        <f t="shared" si="372"/>
        <v>0</v>
      </c>
      <c r="AF74" s="130">
        <f t="shared" si="372"/>
        <v>0</v>
      </c>
      <c r="AG74" s="130">
        <f>AG9-AG37</f>
        <v>0</v>
      </c>
      <c r="AH74" s="130">
        <f t="shared" ref="AH74" si="380">AH9-AH37</f>
        <v>0</v>
      </c>
      <c r="AI74" s="130">
        <f t="shared" si="372"/>
        <v>0</v>
      </c>
      <c r="AJ74" s="130">
        <f t="shared" si="372"/>
        <v>0</v>
      </c>
      <c r="AK74" s="130">
        <f>AK9-AK37</f>
        <v>0</v>
      </c>
      <c r="AL74" s="130">
        <f t="shared" ref="AL74" si="381">AL9-AL37</f>
        <v>0</v>
      </c>
      <c r="AM74" s="130">
        <f t="shared" si="372"/>
        <v>0</v>
      </c>
      <c r="AN74" s="130">
        <f t="shared" si="372"/>
        <v>0</v>
      </c>
      <c r="AO74" s="130">
        <f>AO9-AO37</f>
        <v>0</v>
      </c>
      <c r="AP74" s="130">
        <f t="shared" ref="AP74" si="382">AP9-AP37</f>
        <v>0</v>
      </c>
      <c r="AQ74" s="130">
        <f t="shared" si="372"/>
        <v>0</v>
      </c>
      <c r="AR74" s="130">
        <f t="shared" si="372"/>
        <v>0</v>
      </c>
      <c r="AS74" s="130">
        <f>AS9-AS37</f>
        <v>0</v>
      </c>
      <c r="AT74" s="130">
        <f t="shared" ref="AT74" si="383">AT9-AT37</f>
        <v>0</v>
      </c>
      <c r="AU74" s="130">
        <f t="shared" si="372"/>
        <v>0</v>
      </c>
      <c r="AV74" s="130">
        <f t="shared" si="372"/>
        <v>0</v>
      </c>
      <c r="AW74" s="130">
        <f>AW9-AW37</f>
        <v>0</v>
      </c>
      <c r="AX74" s="130">
        <f t="shared" ref="AX74" si="384">AX9-AX37</f>
        <v>0</v>
      </c>
      <c r="AY74" s="130">
        <f>AY9-AY37</f>
        <v>0</v>
      </c>
      <c r="AZ74" s="130">
        <f t="shared" ref="AZ74" si="385">AZ9-AZ37</f>
        <v>0</v>
      </c>
      <c r="BA74" s="143" t="s">
        <v>51</v>
      </c>
      <c r="BB74" s="143" t="s">
        <v>51</v>
      </c>
      <c r="BC74" s="130">
        <f>BC9-BC37</f>
        <v>0</v>
      </c>
      <c r="BD74" s="130">
        <f t="shared" ref="BD74" si="386">BD9-BD37</f>
        <v>0</v>
      </c>
      <c r="BE74" s="130">
        <f>BE9-BE37</f>
        <v>0</v>
      </c>
      <c r="BF74" s="130">
        <f t="shared" ref="BF74:DJ74" si="387">BF9-BF37</f>
        <v>0</v>
      </c>
      <c r="BG74" s="130">
        <f t="shared" si="387"/>
        <v>0</v>
      </c>
      <c r="BH74" s="130">
        <f t="shared" si="387"/>
        <v>0</v>
      </c>
      <c r="BI74" s="143" t="s">
        <v>51</v>
      </c>
      <c r="BJ74" s="143" t="s">
        <v>51</v>
      </c>
      <c r="BK74" s="130">
        <f>BK9-BK37</f>
        <v>0</v>
      </c>
      <c r="BL74" s="130">
        <f t="shared" ref="BL74" si="388">BL9-BL37</f>
        <v>0</v>
      </c>
      <c r="BM74" s="130">
        <f t="shared" si="387"/>
        <v>0</v>
      </c>
      <c r="BN74" s="130">
        <f t="shared" si="387"/>
        <v>0</v>
      </c>
      <c r="BO74" s="143" t="s">
        <v>51</v>
      </c>
      <c r="BP74" s="143" t="s">
        <v>51</v>
      </c>
      <c r="BQ74" s="130">
        <f>BQ9-BQ37</f>
        <v>0</v>
      </c>
      <c r="BR74" s="130">
        <f t="shared" ref="BR74" si="389">BR9-BR37</f>
        <v>0</v>
      </c>
      <c r="BS74" s="130">
        <f t="shared" si="387"/>
        <v>0</v>
      </c>
      <c r="BT74" s="130">
        <f t="shared" si="387"/>
        <v>0</v>
      </c>
      <c r="BU74" s="143" t="s">
        <v>51</v>
      </c>
      <c r="BV74" s="143" t="s">
        <v>51</v>
      </c>
      <c r="BW74" s="130">
        <f>BW9-BW37</f>
        <v>0</v>
      </c>
      <c r="BX74" s="130">
        <f t="shared" ref="BX74" si="390">BX9-BX37</f>
        <v>0</v>
      </c>
      <c r="BY74" s="130">
        <f t="shared" si="387"/>
        <v>0</v>
      </c>
      <c r="BZ74" s="130">
        <f t="shared" si="387"/>
        <v>0</v>
      </c>
      <c r="CA74" s="143" t="s">
        <v>51</v>
      </c>
      <c r="CB74" s="143" t="s">
        <v>51</v>
      </c>
      <c r="CC74" s="130">
        <f>CC9-CC37</f>
        <v>0</v>
      </c>
      <c r="CD74" s="130">
        <f t="shared" ref="CD74" si="391">CD9-CD37</f>
        <v>0</v>
      </c>
      <c r="CE74" s="130">
        <f t="shared" si="387"/>
        <v>0</v>
      </c>
      <c r="CF74" s="130">
        <f t="shared" si="387"/>
        <v>0</v>
      </c>
      <c r="CG74" s="143" t="s">
        <v>51</v>
      </c>
      <c r="CH74" s="143" t="s">
        <v>51</v>
      </c>
      <c r="CI74" s="130">
        <f>CI9-CI37</f>
        <v>0</v>
      </c>
      <c r="CJ74" s="130">
        <f t="shared" ref="CJ74" si="392">CJ9-CJ37</f>
        <v>0</v>
      </c>
      <c r="CK74" s="130">
        <f t="shared" si="387"/>
        <v>0</v>
      </c>
      <c r="CL74" s="130">
        <f t="shared" si="387"/>
        <v>0</v>
      </c>
      <c r="CM74" s="143" t="s">
        <v>51</v>
      </c>
      <c r="CN74" s="143" t="s">
        <v>51</v>
      </c>
      <c r="CO74" s="130">
        <f>CO9-CO37</f>
        <v>0</v>
      </c>
      <c r="CP74" s="130">
        <f t="shared" ref="CP74" si="393">CP9-CP37</f>
        <v>0</v>
      </c>
      <c r="CQ74" s="130">
        <f t="shared" si="387"/>
        <v>0</v>
      </c>
      <c r="CR74" s="130">
        <f t="shared" si="387"/>
        <v>0</v>
      </c>
      <c r="CS74" s="143" t="s">
        <v>51</v>
      </c>
      <c r="CT74" s="143" t="s">
        <v>51</v>
      </c>
      <c r="CU74" s="130">
        <f>CU9-CU37</f>
        <v>0</v>
      </c>
      <c r="CV74" s="130">
        <f t="shared" ref="CV74" si="394">CV9-CV37</f>
        <v>0</v>
      </c>
      <c r="CW74" s="130">
        <f t="shared" si="387"/>
        <v>0</v>
      </c>
      <c r="CX74" s="130">
        <f t="shared" si="387"/>
        <v>0</v>
      </c>
      <c r="CY74" s="143" t="s">
        <v>51</v>
      </c>
      <c r="CZ74" s="143" t="s">
        <v>51</v>
      </c>
      <c r="DA74" s="130">
        <f>DA9-DA37</f>
        <v>0</v>
      </c>
      <c r="DB74" s="130">
        <f t="shared" ref="DB74" si="395">DB9-DB37</f>
        <v>0</v>
      </c>
      <c r="DC74" s="130">
        <f t="shared" si="387"/>
        <v>0</v>
      </c>
      <c r="DD74" s="130">
        <f t="shared" si="387"/>
        <v>0</v>
      </c>
      <c r="DE74" s="143" t="s">
        <v>51</v>
      </c>
      <c r="DF74" s="143" t="s">
        <v>51</v>
      </c>
      <c r="DG74" s="130">
        <f>DG9-DG37</f>
        <v>0</v>
      </c>
      <c r="DH74" s="130">
        <f t="shared" ref="DH74" si="396">DH9-DH37</f>
        <v>0</v>
      </c>
      <c r="DI74" s="130">
        <f t="shared" si="387"/>
        <v>0</v>
      </c>
      <c r="DJ74" s="130">
        <f t="shared" si="387"/>
        <v>0</v>
      </c>
      <c r="DK74" s="143" t="s">
        <v>51</v>
      </c>
      <c r="DL74" s="143" t="s">
        <v>51</v>
      </c>
      <c r="DM74" s="130">
        <f>DM9-DM37</f>
        <v>0</v>
      </c>
      <c r="DN74" s="130">
        <f t="shared" ref="DN74" si="397">DN9-DN37</f>
        <v>0</v>
      </c>
      <c r="DO74" s="130">
        <f>DO9-DO37</f>
        <v>0</v>
      </c>
      <c r="DP74" s="130">
        <f t="shared" ref="DP74" si="398">DP9-DP37</f>
        <v>0</v>
      </c>
      <c r="DQ74" s="130">
        <f>DQ9-DQ37</f>
        <v>0</v>
      </c>
      <c r="DR74" s="130">
        <f t="shared" ref="DR74" si="399">DR9-DR37</f>
        <v>0</v>
      </c>
      <c r="DS74" s="143" t="s">
        <v>51</v>
      </c>
      <c r="DT74" s="143" t="s">
        <v>51</v>
      </c>
      <c r="DU74" s="143" t="s">
        <v>51</v>
      </c>
      <c r="DV74" s="143" t="s">
        <v>51</v>
      </c>
      <c r="DW74" s="165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221" t="s">
        <v>52</v>
      </c>
      <c r="B75" s="222"/>
      <c r="C75" s="133" t="e">
        <f t="shared" ref="C75:AH75" si="400">IF(C74&gt;0,"-",-C74/(C10-C12))</f>
        <v>#DIV/0!</v>
      </c>
      <c r="D75" s="133" t="e">
        <f t="shared" si="400"/>
        <v>#DIV/0!</v>
      </c>
      <c r="E75" s="133" t="e">
        <f t="shared" si="400"/>
        <v>#DIV/0!</v>
      </c>
      <c r="F75" s="133" t="e">
        <f t="shared" si="400"/>
        <v>#DIV/0!</v>
      </c>
      <c r="G75" s="133" t="e">
        <f t="shared" si="400"/>
        <v>#DIV/0!</v>
      </c>
      <c r="H75" s="133" t="e">
        <f t="shared" si="400"/>
        <v>#DIV/0!</v>
      </c>
      <c r="I75" s="133" t="e">
        <f t="shared" si="400"/>
        <v>#DIV/0!</v>
      </c>
      <c r="J75" s="133" t="e">
        <f t="shared" si="400"/>
        <v>#DIV/0!</v>
      </c>
      <c r="K75" s="133" t="e">
        <f t="shared" si="400"/>
        <v>#DIV/0!</v>
      </c>
      <c r="L75" s="133" t="e">
        <f t="shared" si="400"/>
        <v>#DIV/0!</v>
      </c>
      <c r="M75" s="133" t="e">
        <f t="shared" si="400"/>
        <v>#DIV/0!</v>
      </c>
      <c r="N75" s="133" t="e">
        <f t="shared" si="400"/>
        <v>#DIV/0!</v>
      </c>
      <c r="O75" s="133" t="e">
        <f t="shared" si="400"/>
        <v>#DIV/0!</v>
      </c>
      <c r="P75" s="133" t="e">
        <f t="shared" si="400"/>
        <v>#DIV/0!</v>
      </c>
      <c r="Q75" s="133" t="e">
        <f t="shared" si="400"/>
        <v>#DIV/0!</v>
      </c>
      <c r="R75" s="133" t="e">
        <f t="shared" si="400"/>
        <v>#DIV/0!</v>
      </c>
      <c r="S75" s="133" t="e">
        <f t="shared" si="400"/>
        <v>#DIV/0!</v>
      </c>
      <c r="T75" s="133" t="e">
        <f t="shared" si="400"/>
        <v>#DIV/0!</v>
      </c>
      <c r="U75" s="133" t="e">
        <f t="shared" si="400"/>
        <v>#DIV/0!</v>
      </c>
      <c r="V75" s="133" t="e">
        <f t="shared" si="400"/>
        <v>#DIV/0!</v>
      </c>
      <c r="W75" s="133" t="e">
        <f t="shared" si="400"/>
        <v>#DIV/0!</v>
      </c>
      <c r="X75" s="133" t="e">
        <f t="shared" si="400"/>
        <v>#DIV/0!</v>
      </c>
      <c r="Y75" s="133" t="e">
        <f t="shared" si="400"/>
        <v>#DIV/0!</v>
      </c>
      <c r="Z75" s="133" t="e">
        <f t="shared" si="400"/>
        <v>#DIV/0!</v>
      </c>
      <c r="AA75" s="133" t="e">
        <f t="shared" si="400"/>
        <v>#DIV/0!</v>
      </c>
      <c r="AB75" s="133" t="e">
        <f t="shared" si="400"/>
        <v>#DIV/0!</v>
      </c>
      <c r="AC75" s="133" t="e">
        <f t="shared" si="400"/>
        <v>#DIV/0!</v>
      </c>
      <c r="AD75" s="133" t="e">
        <f t="shared" si="400"/>
        <v>#DIV/0!</v>
      </c>
      <c r="AE75" s="133" t="e">
        <f t="shared" si="400"/>
        <v>#DIV/0!</v>
      </c>
      <c r="AF75" s="133" t="e">
        <f t="shared" si="400"/>
        <v>#DIV/0!</v>
      </c>
      <c r="AG75" s="133" t="e">
        <f t="shared" si="400"/>
        <v>#DIV/0!</v>
      </c>
      <c r="AH75" s="133" t="e">
        <f t="shared" si="400"/>
        <v>#DIV/0!</v>
      </c>
      <c r="AI75" s="133" t="e">
        <f t="shared" ref="AI75:AZ75" si="401">IF(AI74&gt;0,"-",-AI74/(AI10-AI12))</f>
        <v>#DIV/0!</v>
      </c>
      <c r="AJ75" s="133" t="e">
        <f t="shared" si="401"/>
        <v>#DIV/0!</v>
      </c>
      <c r="AK75" s="133" t="e">
        <f t="shared" si="401"/>
        <v>#DIV/0!</v>
      </c>
      <c r="AL75" s="133" t="e">
        <f t="shared" si="401"/>
        <v>#DIV/0!</v>
      </c>
      <c r="AM75" s="133" t="e">
        <f t="shared" si="401"/>
        <v>#DIV/0!</v>
      </c>
      <c r="AN75" s="133" t="e">
        <f t="shared" si="401"/>
        <v>#DIV/0!</v>
      </c>
      <c r="AO75" s="133" t="e">
        <f t="shared" si="401"/>
        <v>#DIV/0!</v>
      </c>
      <c r="AP75" s="133" t="e">
        <f t="shared" si="401"/>
        <v>#DIV/0!</v>
      </c>
      <c r="AQ75" s="133" t="e">
        <f t="shared" si="401"/>
        <v>#DIV/0!</v>
      </c>
      <c r="AR75" s="133" t="e">
        <f t="shared" si="401"/>
        <v>#DIV/0!</v>
      </c>
      <c r="AS75" s="133" t="e">
        <f t="shared" si="401"/>
        <v>#DIV/0!</v>
      </c>
      <c r="AT75" s="133" t="e">
        <f t="shared" si="401"/>
        <v>#DIV/0!</v>
      </c>
      <c r="AU75" s="133" t="e">
        <f t="shared" si="401"/>
        <v>#DIV/0!</v>
      </c>
      <c r="AV75" s="133" t="e">
        <f t="shared" si="401"/>
        <v>#DIV/0!</v>
      </c>
      <c r="AW75" s="133" t="e">
        <f t="shared" si="401"/>
        <v>#DIV/0!</v>
      </c>
      <c r="AX75" s="133" t="e">
        <f t="shared" si="401"/>
        <v>#DIV/0!</v>
      </c>
      <c r="AY75" s="133" t="e">
        <f t="shared" si="401"/>
        <v>#DIV/0!</v>
      </c>
      <c r="AZ75" s="133" t="e">
        <f t="shared" si="401"/>
        <v>#DIV/0!</v>
      </c>
      <c r="BA75" s="144" t="s">
        <v>51</v>
      </c>
      <c r="BB75" s="144" t="s">
        <v>51</v>
      </c>
      <c r="BC75" s="133" t="e">
        <f t="shared" ref="BC75:BH75" si="402">IF(BC74&gt;0,"-",-BC74/(BC10-BC12))</f>
        <v>#REF!</v>
      </c>
      <c r="BD75" s="133" t="e">
        <f t="shared" si="402"/>
        <v>#REF!</v>
      </c>
      <c r="BE75" s="133" t="e">
        <f t="shared" si="402"/>
        <v>#REF!</v>
      </c>
      <c r="BF75" s="133" t="e">
        <f t="shared" si="402"/>
        <v>#REF!</v>
      </c>
      <c r="BG75" s="133" t="e">
        <f t="shared" si="402"/>
        <v>#REF!</v>
      </c>
      <c r="BH75" s="133" t="e">
        <f t="shared" si="402"/>
        <v>#REF!</v>
      </c>
      <c r="BI75" s="144" t="s">
        <v>51</v>
      </c>
      <c r="BJ75" s="144" t="s">
        <v>51</v>
      </c>
      <c r="BK75" s="133" t="e">
        <f>IF(BK74&gt;0,"-",-BK74/(BK10-BK12))</f>
        <v>#REF!</v>
      </c>
      <c r="BL75" s="133" t="e">
        <f>IF(BL74&gt;0,"-",-BL74/(BL10-BL12))</f>
        <v>#REF!</v>
      </c>
      <c r="BM75" s="133" t="e">
        <f>IF(BM74&gt;0,"-",-BM74/(BM10-BM12))</f>
        <v>#REF!</v>
      </c>
      <c r="BN75" s="133" t="e">
        <f>IF(BN74&gt;0,"-",-BN74/(BN10-BN12))</f>
        <v>#REF!</v>
      </c>
      <c r="BO75" s="144" t="s">
        <v>51</v>
      </c>
      <c r="BP75" s="144" t="s">
        <v>51</v>
      </c>
      <c r="BQ75" s="133" t="e">
        <f>IF(BQ74&gt;0,"-",-BQ74/(BQ10-BQ12))</f>
        <v>#REF!</v>
      </c>
      <c r="BR75" s="133" t="e">
        <f>IF(BR74&gt;0,"-",-BR74/(BR10-BR12))</f>
        <v>#REF!</v>
      </c>
      <c r="BS75" s="133" t="e">
        <f>IF(BS74&gt;0,"-",-BS74/(BS10-BS12))</f>
        <v>#REF!</v>
      </c>
      <c r="BT75" s="133" t="e">
        <f>IF(BT74&gt;0,"-",-BT74/(BT10-BT12))</f>
        <v>#REF!</v>
      </c>
      <c r="BU75" s="144" t="s">
        <v>51</v>
      </c>
      <c r="BV75" s="144" t="s">
        <v>51</v>
      </c>
      <c r="BW75" s="133" t="e">
        <f>IF(BW74&gt;0,"-",-BW74/(BW10-BW12))</f>
        <v>#REF!</v>
      </c>
      <c r="BX75" s="133" t="e">
        <f>IF(BX74&gt;0,"-",-BX74/(BX10-BX12))</f>
        <v>#REF!</v>
      </c>
      <c r="BY75" s="133" t="e">
        <f>IF(BY74&gt;0,"-",-BY74/(BY10-BY12))</f>
        <v>#REF!</v>
      </c>
      <c r="BZ75" s="133" t="e">
        <f>IF(BZ74&gt;0,"-",-BZ74/(BZ10-BZ12))</f>
        <v>#REF!</v>
      </c>
      <c r="CA75" s="144" t="s">
        <v>51</v>
      </c>
      <c r="CB75" s="144" t="s">
        <v>51</v>
      </c>
      <c r="CC75" s="133" t="e">
        <f>IF(CC74&gt;0,"-",-CC74/(CC10-CC12))</f>
        <v>#REF!</v>
      </c>
      <c r="CD75" s="133" t="e">
        <f>IF(CD74&gt;0,"-",-CD74/(CD10-CD12))</f>
        <v>#REF!</v>
      </c>
      <c r="CE75" s="133" t="e">
        <f>IF(CE74&gt;0,"-",-CE74/(CE10-CE12))</f>
        <v>#REF!</v>
      </c>
      <c r="CF75" s="133" t="e">
        <f>IF(CF74&gt;0,"-",-CF74/(CF10-CF12))</f>
        <v>#REF!</v>
      </c>
      <c r="CG75" s="144" t="s">
        <v>51</v>
      </c>
      <c r="CH75" s="144" t="s">
        <v>51</v>
      </c>
      <c r="CI75" s="133" t="e">
        <f>IF(CI74&gt;0,"-",-CI74/(CI10-CI12))</f>
        <v>#REF!</v>
      </c>
      <c r="CJ75" s="133" t="e">
        <f>IF(CJ74&gt;0,"-",-CJ74/(CJ10-CJ12))</f>
        <v>#REF!</v>
      </c>
      <c r="CK75" s="133" t="e">
        <f>IF(CK74&gt;0,"-",-CK74/(CK10-CK12))</f>
        <v>#REF!</v>
      </c>
      <c r="CL75" s="133" t="e">
        <f>IF(CL74&gt;0,"-",-CL74/(CL10-CL12))</f>
        <v>#REF!</v>
      </c>
      <c r="CM75" s="144" t="s">
        <v>51</v>
      </c>
      <c r="CN75" s="144" t="s">
        <v>51</v>
      </c>
      <c r="CO75" s="133" t="e">
        <f>IF(CO74&gt;0,"-",-CO74/(CO10-CO12))</f>
        <v>#REF!</v>
      </c>
      <c r="CP75" s="133" t="e">
        <f>IF(CP74&gt;0,"-",-CP74/(CP10-CP12))</f>
        <v>#REF!</v>
      </c>
      <c r="CQ75" s="133" t="e">
        <f>IF(CQ74&gt;0,"-",-CQ74/(CQ10-CQ12))</f>
        <v>#REF!</v>
      </c>
      <c r="CR75" s="133" t="e">
        <f>IF(CR74&gt;0,"-",-CR74/(CR10-CR12))</f>
        <v>#REF!</v>
      </c>
      <c r="CS75" s="144" t="s">
        <v>51</v>
      </c>
      <c r="CT75" s="144" t="s">
        <v>51</v>
      </c>
      <c r="CU75" s="133" t="e">
        <f>IF(CU74&gt;0,"-",-CU74/(CU10-CU12))</f>
        <v>#REF!</v>
      </c>
      <c r="CV75" s="133" t="e">
        <f>IF(CV74&gt;0,"-",-CV74/(CV10-CV12))</f>
        <v>#REF!</v>
      </c>
      <c r="CW75" s="133" t="e">
        <f>IF(CW74&gt;0,"-",-CW74/(CW10-CW12))</f>
        <v>#REF!</v>
      </c>
      <c r="CX75" s="133" t="e">
        <f>IF(CX74&gt;0,"-",-CX74/(CX10-CX12))</f>
        <v>#REF!</v>
      </c>
      <c r="CY75" s="144" t="s">
        <v>51</v>
      </c>
      <c r="CZ75" s="144" t="s">
        <v>51</v>
      </c>
      <c r="DA75" s="133" t="e">
        <f>IF(DA74&gt;0,"-",-DA74/(DA10-DA12))</f>
        <v>#REF!</v>
      </c>
      <c r="DB75" s="133" t="e">
        <f>IF(DB74&gt;0,"-",-DB74/(DB10-DB12))</f>
        <v>#REF!</v>
      </c>
      <c r="DC75" s="133" t="e">
        <f>IF(DC74&gt;0,"-",-DC74/(DC10-DC12))</f>
        <v>#REF!</v>
      </c>
      <c r="DD75" s="133" t="e">
        <f>IF(DD74&gt;0,"-",-DD74/(DD10-DD12))</f>
        <v>#REF!</v>
      </c>
      <c r="DE75" s="144" t="s">
        <v>51</v>
      </c>
      <c r="DF75" s="144" t="s">
        <v>51</v>
      </c>
      <c r="DG75" s="133" t="e">
        <f>IF(DG74&gt;0,"-",-DG74/(DG10-DG12))</f>
        <v>#REF!</v>
      </c>
      <c r="DH75" s="133" t="e">
        <f>IF(DH74&gt;0,"-",-DH74/(DH10-DH12))</f>
        <v>#REF!</v>
      </c>
      <c r="DI75" s="133" t="e">
        <f>IF(DI74&gt;0,"-",-DI74/(DI10-DI12))</f>
        <v>#REF!</v>
      </c>
      <c r="DJ75" s="133" t="e">
        <f>IF(DJ74&gt;0,"-",-DJ74/(DJ10-DJ12))</f>
        <v>#REF!</v>
      </c>
      <c r="DK75" s="144" t="s">
        <v>51</v>
      </c>
      <c r="DL75" s="144" t="s">
        <v>51</v>
      </c>
      <c r="DM75" s="133" t="e">
        <f t="shared" ref="DM75:DR75" si="403">IF(DM74&gt;0,"-",-DM74/(DM10-DM12))</f>
        <v>#REF!</v>
      </c>
      <c r="DN75" s="133" t="e">
        <f t="shared" si="403"/>
        <v>#REF!</v>
      </c>
      <c r="DO75" s="133" t="e">
        <f t="shared" si="403"/>
        <v>#REF!</v>
      </c>
      <c r="DP75" s="133" t="e">
        <f t="shared" si="403"/>
        <v>#REF!</v>
      </c>
      <c r="DQ75" s="133" t="e">
        <f t="shared" si="403"/>
        <v>#REF!</v>
      </c>
      <c r="DR75" s="133" t="e">
        <f t="shared" si="403"/>
        <v>#REF!</v>
      </c>
      <c r="DS75" s="144" t="s">
        <v>51</v>
      </c>
      <c r="DT75" s="144" t="s">
        <v>51</v>
      </c>
      <c r="DU75" s="144" t="s">
        <v>51</v>
      </c>
      <c r="DV75" s="144" t="s">
        <v>51</v>
      </c>
      <c r="DW75" s="73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19.5" customHeight="1">
      <c r="A76" s="244" t="s">
        <v>127</v>
      </c>
      <c r="B76" s="245"/>
      <c r="C76" s="145" t="str">
        <f t="shared" ref="C76:AH76" si="404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404"/>
        <v>-</v>
      </c>
      <c r="E76" s="145" t="str">
        <f t="shared" si="404"/>
        <v>-</v>
      </c>
      <c r="F76" s="145" t="str">
        <f t="shared" si="404"/>
        <v>-</v>
      </c>
      <c r="G76" s="145" t="str">
        <f t="shared" si="404"/>
        <v>-</v>
      </c>
      <c r="H76" s="145" t="str">
        <f t="shared" si="404"/>
        <v>-</v>
      </c>
      <c r="I76" s="145" t="str">
        <f t="shared" si="404"/>
        <v>-</v>
      </c>
      <c r="J76" s="145" t="str">
        <f t="shared" si="404"/>
        <v>-</v>
      </c>
      <c r="K76" s="145" t="str">
        <f t="shared" si="404"/>
        <v>-</v>
      </c>
      <c r="L76" s="145" t="str">
        <f t="shared" si="404"/>
        <v>-</v>
      </c>
      <c r="M76" s="145" t="str">
        <f t="shared" si="404"/>
        <v>-</v>
      </c>
      <c r="N76" s="145" t="str">
        <f t="shared" si="404"/>
        <v>-</v>
      </c>
      <c r="O76" s="145" t="str">
        <f t="shared" si="404"/>
        <v>-</v>
      </c>
      <c r="P76" s="145" t="str">
        <f t="shared" si="404"/>
        <v>-</v>
      </c>
      <c r="Q76" s="145" t="str">
        <f t="shared" si="404"/>
        <v>-</v>
      </c>
      <c r="R76" s="145" t="str">
        <f t="shared" si="404"/>
        <v>-</v>
      </c>
      <c r="S76" s="145" t="str">
        <f t="shared" si="404"/>
        <v>-</v>
      </c>
      <c r="T76" s="145" t="str">
        <f t="shared" si="404"/>
        <v>-</v>
      </c>
      <c r="U76" s="145" t="str">
        <f t="shared" si="404"/>
        <v>-</v>
      </c>
      <c r="V76" s="145" t="str">
        <f t="shared" si="404"/>
        <v>-</v>
      </c>
      <c r="W76" s="145" t="str">
        <f t="shared" si="404"/>
        <v>-</v>
      </c>
      <c r="X76" s="145" t="str">
        <f t="shared" si="404"/>
        <v>-</v>
      </c>
      <c r="Y76" s="145" t="str">
        <f t="shared" si="404"/>
        <v>-</v>
      </c>
      <c r="Z76" s="145" t="str">
        <f t="shared" si="404"/>
        <v>-</v>
      </c>
      <c r="AA76" s="145" t="str">
        <f t="shared" si="404"/>
        <v>-</v>
      </c>
      <c r="AB76" s="145" t="str">
        <f t="shared" si="404"/>
        <v>-</v>
      </c>
      <c r="AC76" s="145" t="str">
        <f t="shared" si="404"/>
        <v>-</v>
      </c>
      <c r="AD76" s="145" t="str">
        <f t="shared" si="404"/>
        <v>-</v>
      </c>
      <c r="AE76" s="145" t="str">
        <f t="shared" si="404"/>
        <v>-</v>
      </c>
      <c r="AF76" s="145" t="str">
        <f t="shared" si="404"/>
        <v>-</v>
      </c>
      <c r="AG76" s="145" t="str">
        <f t="shared" si="404"/>
        <v>-</v>
      </c>
      <c r="AH76" s="145" t="str">
        <f t="shared" si="404"/>
        <v>-</v>
      </c>
      <c r="AI76" s="145" t="str">
        <f t="shared" ref="AI76:AZ76" si="405">IF(OR(AI10-AI12=0,AI74&gt;=0),"-",IF(AND(AI78&lt;=0,AI87&lt;=0),(-AI74)/(AI10-AI12),IF(AND(AI87&gt;0,AI78&lt;=0),(-AI74-AI87)/(AI10-AI12),IF(AND(AI87&lt;=0,AI78&gt;0),(-AI74-AI78)/(AI10-AI12),(-AI74-AI78-AI87)/(AI10-AI12)))))</f>
        <v>-</v>
      </c>
      <c r="AJ76" s="145" t="str">
        <f t="shared" si="405"/>
        <v>-</v>
      </c>
      <c r="AK76" s="145" t="str">
        <f t="shared" si="405"/>
        <v>-</v>
      </c>
      <c r="AL76" s="145" t="str">
        <f t="shared" si="405"/>
        <v>-</v>
      </c>
      <c r="AM76" s="145" t="str">
        <f t="shared" si="405"/>
        <v>-</v>
      </c>
      <c r="AN76" s="145" t="str">
        <f t="shared" si="405"/>
        <v>-</v>
      </c>
      <c r="AO76" s="145" t="str">
        <f t="shared" si="405"/>
        <v>-</v>
      </c>
      <c r="AP76" s="145" t="str">
        <f t="shared" si="405"/>
        <v>-</v>
      </c>
      <c r="AQ76" s="145" t="str">
        <f t="shared" si="405"/>
        <v>-</v>
      </c>
      <c r="AR76" s="145" t="str">
        <f t="shared" si="405"/>
        <v>-</v>
      </c>
      <c r="AS76" s="145" t="str">
        <f t="shared" si="405"/>
        <v>-</v>
      </c>
      <c r="AT76" s="145" t="str">
        <f t="shared" si="405"/>
        <v>-</v>
      </c>
      <c r="AU76" s="145" t="str">
        <f t="shared" si="405"/>
        <v>-</v>
      </c>
      <c r="AV76" s="145" t="str">
        <f t="shared" si="405"/>
        <v>-</v>
      </c>
      <c r="AW76" s="145" t="str">
        <f t="shared" si="405"/>
        <v>-</v>
      </c>
      <c r="AX76" s="145" t="str">
        <f t="shared" si="405"/>
        <v>-</v>
      </c>
      <c r="AY76" s="145" t="str">
        <f t="shared" si="405"/>
        <v>-</v>
      </c>
      <c r="AZ76" s="145" t="str">
        <f t="shared" si="405"/>
        <v>-</v>
      </c>
      <c r="BA76" s="144" t="s">
        <v>51</v>
      </c>
      <c r="BB76" s="144" t="s">
        <v>51</v>
      </c>
      <c r="BC76" s="145" t="e">
        <f t="shared" ref="BC76:BH76" si="406">IF(OR(BC10-BC12=0,BC74&gt;=0),"-",IF(AND(BC78&lt;=0,BC87&lt;=0),(-BC74)/(BC10-BC12),IF(AND(BC87&gt;0,BC78&lt;=0),(-BC74-BC87)/(BC10-BC12),IF(AND(BC87&lt;=0,BC78&gt;0),(-BC74-BC78)/(BC10-BC12),(-BC74-BC78-BC87)/(BC10-BC12)))))</f>
        <v>#REF!</v>
      </c>
      <c r="BD76" s="145" t="e">
        <f t="shared" si="406"/>
        <v>#REF!</v>
      </c>
      <c r="BE76" s="145" t="e">
        <f t="shared" si="406"/>
        <v>#REF!</v>
      </c>
      <c r="BF76" s="145" t="e">
        <f t="shared" si="406"/>
        <v>#REF!</v>
      </c>
      <c r="BG76" s="145" t="e">
        <f t="shared" si="406"/>
        <v>#REF!</v>
      </c>
      <c r="BH76" s="145" t="e">
        <f t="shared" si="406"/>
        <v>#REF!</v>
      </c>
      <c r="BI76" s="144" t="s">
        <v>51</v>
      </c>
      <c r="BJ76" s="144" t="s">
        <v>51</v>
      </c>
      <c r="BK76" s="145" t="e">
        <f>IF(OR(BK10-BK12=0,BK74&gt;=0),"-",IF(AND(BK78&lt;=0,BK87&lt;=0),(-BK74)/(BK10-BK12),IF(AND(BK87&gt;0,BK78&lt;=0),(-BK74-BK87)/(BK10-BK12),IF(AND(BK87&lt;=0,BK78&gt;0),(-BK74-BK78)/(BK10-BK12),(-BK74-BK78-BK87)/(BK10-BK12)))))</f>
        <v>#REF!</v>
      </c>
      <c r="BL76" s="145" t="e">
        <f>IF(OR(BL10-BL12=0,BL74&gt;=0),"-",IF(AND(BL78&lt;=0,BL87&lt;=0),(-BL74)/(BL10-BL12),IF(AND(BL87&gt;0,BL78&lt;=0),(-BL74-BL87)/(BL10-BL12),IF(AND(BL87&lt;=0,BL78&gt;0),(-BL74-BL78)/(BL10-BL12),(-BL74-BL78-BL87)/(BL10-BL12)))))</f>
        <v>#REF!</v>
      </c>
      <c r="BM76" s="145" t="e">
        <f>IF(OR(BM10-BM12=0,BM74&gt;=0),"-",IF(AND(BM78&lt;=0,BM87&lt;=0),(-BM74)/(BM10-BM12),IF(AND(BM87&gt;0,BM78&lt;=0),(-BM74-BM87)/(BM10-BM12),IF(AND(BM87&lt;=0,BM78&gt;0),(-BM74-BM78)/(BM10-BM12),(-BM74-BM78-BM87)/(BM10-BM12)))))</f>
        <v>#REF!</v>
      </c>
      <c r="BN76" s="145" t="e">
        <f>IF(OR(BN10-BN12=0,BN74&gt;=0),"-",IF(AND(BN78&lt;=0,BN87&lt;=0),(-BN74)/(BN10-BN12),IF(AND(BN87&gt;0,BN78&lt;=0),(-BN74-BN87)/(BN10-BN12),IF(AND(BN87&lt;=0,BN78&gt;0),(-BN74-BN78)/(BN10-BN12),(-BN74-BN78-BN87)/(BN10-BN12)))))</f>
        <v>#REF!</v>
      </c>
      <c r="BO76" s="144" t="s">
        <v>51</v>
      </c>
      <c r="BP76" s="144" t="s">
        <v>51</v>
      </c>
      <c r="BQ76" s="145" t="e">
        <f>IF(OR(BQ10-BQ12=0,BQ74&gt;=0),"-",IF(AND(BQ78&lt;=0,BQ87&lt;=0),(-BQ74)/(BQ10-BQ12),IF(AND(BQ87&gt;0,BQ78&lt;=0),(-BQ74-BQ87)/(BQ10-BQ12),IF(AND(BQ87&lt;=0,BQ78&gt;0),(-BQ74-BQ78)/(BQ10-BQ12),(-BQ74-BQ78-BQ87)/(BQ10-BQ12)))))</f>
        <v>#REF!</v>
      </c>
      <c r="BR76" s="145" t="e">
        <f>IF(OR(BR10-BR12=0,BR74&gt;=0),"-",IF(AND(BR78&lt;=0,BR87&lt;=0),(-BR74)/(BR10-BR12),IF(AND(BR87&gt;0,BR78&lt;=0),(-BR74-BR87)/(BR10-BR12),IF(AND(BR87&lt;=0,BR78&gt;0),(-BR74-BR78)/(BR10-BR12),(-BR74-BR78-BR87)/(BR10-BR12)))))</f>
        <v>#REF!</v>
      </c>
      <c r="BS76" s="145" t="e">
        <f>IF(OR(BS10-BS12=0,BS74&gt;=0),"-",IF(AND(BS78&lt;=0,BS87&lt;=0),(-BS74)/(BS10-BS12),IF(AND(BS87&gt;0,BS78&lt;=0),(-BS74-BS87)/(BS10-BS12),IF(AND(BS87&lt;=0,BS78&gt;0),(-BS74-BS78)/(BS10-BS12),(-BS74-BS78-BS87)/(BS10-BS12)))))</f>
        <v>#REF!</v>
      </c>
      <c r="BT76" s="145" t="e">
        <f>IF(OR(BT10-BT12=0,BT74&gt;=0),"-",IF(AND(BT78&lt;=0,BT87&lt;=0),(-BT74)/(BT10-BT12),IF(AND(BT87&gt;0,BT78&lt;=0),(-BT74-BT87)/(BT10-BT12),IF(AND(BT87&lt;=0,BT78&gt;0),(-BT74-BT78)/(BT10-BT12),(-BT74-BT78-BT87)/(BT10-BT12)))))</f>
        <v>#REF!</v>
      </c>
      <c r="BU76" s="144" t="s">
        <v>51</v>
      </c>
      <c r="BV76" s="144" t="s">
        <v>51</v>
      </c>
      <c r="BW76" s="145" t="e">
        <f>IF(OR(BW10-BW12=0,BW74&gt;=0),"-",IF(AND(BW78&lt;=0,BW87&lt;=0),(-BW74)/(BW10-BW12),IF(AND(BW87&gt;0,BW78&lt;=0),(-BW74-BW87)/(BW10-BW12),IF(AND(BW87&lt;=0,BW78&gt;0),(-BW74-BW78)/(BW10-BW12),(-BW74-BW78-BW87)/(BW10-BW12)))))</f>
        <v>#REF!</v>
      </c>
      <c r="BX76" s="145" t="e">
        <f>IF(OR(BX10-BX12=0,BX74&gt;=0),"-",IF(AND(BX78&lt;=0,BX87&lt;=0),(-BX74)/(BX10-BX12),IF(AND(BX87&gt;0,BX78&lt;=0),(-BX74-BX87)/(BX10-BX12),IF(AND(BX87&lt;=0,BX78&gt;0),(-BX74-BX78)/(BX10-BX12),(-BX74-BX78-BX87)/(BX10-BX12)))))</f>
        <v>#REF!</v>
      </c>
      <c r="BY76" s="145" t="e">
        <f>IF(OR(BY10-BY12=0,BY74&gt;=0),"-",IF(AND(BY78&lt;=0,BY87&lt;=0),(-BY74)/(BY10-BY12),IF(AND(BY87&gt;0,BY78&lt;=0),(-BY74-BY87)/(BY10-BY12),IF(AND(BY87&lt;=0,BY78&gt;0),(-BY74-BY78)/(BY10-BY12),(-BY74-BY78-BY87)/(BY10-BY12)))))</f>
        <v>#REF!</v>
      </c>
      <c r="BZ76" s="145" t="e">
        <f>IF(OR(BZ10-BZ12=0,BZ74&gt;=0),"-",IF(AND(BZ78&lt;=0,BZ87&lt;=0),(-BZ74)/(BZ10-BZ12),IF(AND(BZ87&gt;0,BZ78&lt;=0),(-BZ74-BZ87)/(BZ10-BZ12),IF(AND(BZ87&lt;=0,BZ78&gt;0),(-BZ74-BZ78)/(BZ10-BZ12),(-BZ74-BZ78-BZ87)/(BZ10-BZ12)))))</f>
        <v>#REF!</v>
      </c>
      <c r="CA76" s="144" t="s">
        <v>51</v>
      </c>
      <c r="CB76" s="144" t="s">
        <v>51</v>
      </c>
      <c r="CC76" s="145" t="e">
        <f>IF(OR(CC10-CC12=0,CC74&gt;=0),"-",IF(AND(CC78&lt;=0,CC87&lt;=0),(-CC74)/(CC10-CC12),IF(AND(CC87&gt;0,CC78&lt;=0),(-CC74-CC87)/(CC10-CC12),IF(AND(CC87&lt;=0,CC78&gt;0),(-CC74-CC78)/(CC10-CC12),(-CC74-CC78-CC87)/(CC10-CC12)))))</f>
        <v>#REF!</v>
      </c>
      <c r="CD76" s="145" t="e">
        <f>IF(OR(CD10-CD12=0,CD74&gt;=0),"-",IF(AND(CD78&lt;=0,CD87&lt;=0),(-CD74)/(CD10-CD12),IF(AND(CD87&gt;0,CD78&lt;=0),(-CD74-CD87)/(CD10-CD12),IF(AND(CD87&lt;=0,CD78&gt;0),(-CD74-CD78)/(CD10-CD12),(-CD74-CD78-CD87)/(CD10-CD12)))))</f>
        <v>#REF!</v>
      </c>
      <c r="CE76" s="145" t="e">
        <f>IF(OR(CE10-CE12=0,CE74&gt;=0),"-",IF(AND(CE78&lt;=0,CE87&lt;=0),(-CE74)/(CE10-CE12),IF(AND(CE87&gt;0,CE78&lt;=0),(-CE74-CE87)/(CE10-CE12),IF(AND(CE87&lt;=0,CE78&gt;0),(-CE74-CE78)/(CE10-CE12),(-CE74-CE78-CE87)/(CE10-CE12)))))</f>
        <v>#REF!</v>
      </c>
      <c r="CF76" s="145" t="e">
        <f>IF(OR(CF10-CF12=0,CF74&gt;=0),"-",IF(AND(CF78&lt;=0,CF87&lt;=0),(-CF74)/(CF10-CF12),IF(AND(CF87&gt;0,CF78&lt;=0),(-CF74-CF87)/(CF10-CF12),IF(AND(CF87&lt;=0,CF78&gt;0),(-CF74-CF78)/(CF10-CF12),(-CF74-CF78-CF87)/(CF10-CF12)))))</f>
        <v>#REF!</v>
      </c>
      <c r="CG76" s="144" t="s">
        <v>51</v>
      </c>
      <c r="CH76" s="144" t="s">
        <v>51</v>
      </c>
      <c r="CI76" s="145" t="e">
        <f>IF(OR(CI10-CI12=0,CI74&gt;=0),"-",IF(AND(CI78&lt;=0,CI87&lt;=0),(-CI74)/(CI10-CI12),IF(AND(CI87&gt;0,CI78&lt;=0),(-CI74-CI87)/(CI10-CI12),IF(AND(CI87&lt;=0,CI78&gt;0),(-CI74-CI78)/(CI10-CI12),(-CI74-CI78-CI87)/(CI10-CI12)))))</f>
        <v>#REF!</v>
      </c>
      <c r="CJ76" s="145" t="e">
        <f>IF(OR(CJ10-CJ12=0,CJ74&gt;=0),"-",IF(AND(CJ78&lt;=0,CJ87&lt;=0),(-CJ74)/(CJ10-CJ12),IF(AND(CJ87&gt;0,CJ78&lt;=0),(-CJ74-CJ87)/(CJ10-CJ12),IF(AND(CJ87&lt;=0,CJ78&gt;0),(-CJ74-CJ78)/(CJ10-CJ12),(-CJ74-CJ78-CJ87)/(CJ10-CJ12)))))</f>
        <v>#REF!</v>
      </c>
      <c r="CK76" s="145" t="e">
        <f>IF(OR(CK10-CK12=0,CK74&gt;=0),"-",IF(AND(CK78&lt;=0,CK87&lt;=0),(-CK74)/(CK10-CK12),IF(AND(CK87&gt;0,CK78&lt;=0),(-CK74-CK87)/(CK10-CK12),IF(AND(CK87&lt;=0,CK78&gt;0),(-CK74-CK78)/(CK10-CK12),(-CK74-CK78-CK87)/(CK10-CK12)))))</f>
        <v>#REF!</v>
      </c>
      <c r="CL76" s="145" t="e">
        <f>IF(OR(CL10-CL12=0,CL74&gt;=0),"-",IF(AND(CL78&lt;=0,CL87&lt;=0),(-CL74)/(CL10-CL12),IF(AND(CL87&gt;0,CL78&lt;=0),(-CL74-CL87)/(CL10-CL12),IF(AND(CL87&lt;=0,CL78&gt;0),(-CL74-CL78)/(CL10-CL12),(-CL74-CL78-CL87)/(CL10-CL12)))))</f>
        <v>#REF!</v>
      </c>
      <c r="CM76" s="144" t="s">
        <v>51</v>
      </c>
      <c r="CN76" s="144" t="s">
        <v>51</v>
      </c>
      <c r="CO76" s="145" t="e">
        <f>IF(OR(CO10-CO12=0,CO74&gt;=0),"-",IF(AND(CO78&lt;=0,CO87&lt;=0),(-CO74)/(CO10-CO12),IF(AND(CO87&gt;0,CO78&lt;=0),(-CO74-CO87)/(CO10-CO12),IF(AND(CO87&lt;=0,CO78&gt;0),(-CO74-CO78)/(CO10-CO12),(-CO74-CO78-CO87)/(CO10-CO12)))))</f>
        <v>#REF!</v>
      </c>
      <c r="CP76" s="145" t="e">
        <f>IF(OR(CP10-CP12=0,CP74&gt;=0),"-",IF(AND(CP78&lt;=0,CP87&lt;=0),(-CP74)/(CP10-CP12),IF(AND(CP87&gt;0,CP78&lt;=0),(-CP74-CP87)/(CP10-CP12),IF(AND(CP87&lt;=0,CP78&gt;0),(-CP74-CP78)/(CP10-CP12),(-CP74-CP78-CP87)/(CP10-CP12)))))</f>
        <v>#REF!</v>
      </c>
      <c r="CQ76" s="145" t="e">
        <f>IF(OR(CQ10-CQ12=0,CQ74&gt;=0),"-",IF(AND(CQ78&lt;=0,CQ87&lt;=0),(-CQ74)/(CQ10-CQ12),IF(AND(CQ87&gt;0,CQ78&lt;=0),(-CQ74-CQ87)/(CQ10-CQ12),IF(AND(CQ87&lt;=0,CQ78&gt;0),(-CQ74-CQ78)/(CQ10-CQ12),(-CQ74-CQ78-CQ87)/(CQ10-CQ12)))))</f>
        <v>#REF!</v>
      </c>
      <c r="CR76" s="145" t="e">
        <f>IF(OR(CR10-CR12=0,CR74&gt;=0),"-",IF(AND(CR78&lt;=0,CR87&lt;=0),(-CR74)/(CR10-CR12),IF(AND(CR87&gt;0,CR78&lt;=0),(-CR74-CR87)/(CR10-CR12),IF(AND(CR87&lt;=0,CR78&gt;0),(-CR74-CR78)/(CR10-CR12),(-CR74-CR78-CR87)/(CR10-CR12)))))</f>
        <v>#REF!</v>
      </c>
      <c r="CS76" s="144" t="s">
        <v>51</v>
      </c>
      <c r="CT76" s="144" t="s">
        <v>51</v>
      </c>
      <c r="CU76" s="145" t="e">
        <f>IF(OR(CU10-CU12=0,CU74&gt;=0),"-",IF(AND(CU78&lt;=0,CU87&lt;=0),(-CU74)/(CU10-CU12),IF(AND(CU87&gt;0,CU78&lt;=0),(-CU74-CU87)/(CU10-CU12),IF(AND(CU87&lt;=0,CU78&gt;0),(-CU74-CU78)/(CU10-CU12),(-CU74-CU78-CU87)/(CU10-CU12)))))</f>
        <v>#REF!</v>
      </c>
      <c r="CV76" s="145" t="e">
        <f>IF(OR(CV10-CV12=0,CV74&gt;=0),"-",IF(AND(CV78&lt;=0,CV87&lt;=0),(-CV74)/(CV10-CV12),IF(AND(CV87&gt;0,CV78&lt;=0),(-CV74-CV87)/(CV10-CV12),IF(AND(CV87&lt;=0,CV78&gt;0),(-CV74-CV78)/(CV10-CV12),(-CV74-CV78-CV87)/(CV10-CV12)))))</f>
        <v>#REF!</v>
      </c>
      <c r="CW76" s="145" t="e">
        <f>IF(OR(CW10-CW12=0,CW74&gt;=0),"-",IF(AND(CW78&lt;=0,CW87&lt;=0),(-CW74)/(CW10-CW12),IF(AND(CW87&gt;0,CW78&lt;=0),(-CW74-CW87)/(CW10-CW12),IF(AND(CW87&lt;=0,CW78&gt;0),(-CW74-CW78)/(CW10-CW12),(-CW74-CW78-CW87)/(CW10-CW12)))))</f>
        <v>#REF!</v>
      </c>
      <c r="CX76" s="145" t="e">
        <f>IF(OR(CX10-CX12=0,CX74&gt;=0),"-",IF(AND(CX78&lt;=0,CX87&lt;=0),(-CX74)/(CX10-CX12),IF(AND(CX87&gt;0,CX78&lt;=0),(-CX74-CX87)/(CX10-CX12),IF(AND(CX87&lt;=0,CX78&gt;0),(-CX74-CX78)/(CX10-CX12),(-CX74-CX78-CX87)/(CX10-CX12)))))</f>
        <v>#REF!</v>
      </c>
      <c r="CY76" s="144" t="s">
        <v>51</v>
      </c>
      <c r="CZ76" s="144" t="s">
        <v>51</v>
      </c>
      <c r="DA76" s="145" t="e">
        <f>IF(OR(DA10-DA12=0,DA74&gt;=0),"-",IF(AND(DA78&lt;=0,DA87&lt;=0),(-DA74)/(DA10-DA12),IF(AND(DA87&gt;0,DA78&lt;=0),(-DA74-DA87)/(DA10-DA12),IF(AND(DA87&lt;=0,DA78&gt;0),(-DA74-DA78)/(DA10-DA12),(-DA74-DA78-DA87)/(DA10-DA12)))))</f>
        <v>#REF!</v>
      </c>
      <c r="DB76" s="145" t="e">
        <f>IF(OR(DB10-DB12=0,DB74&gt;=0),"-",IF(AND(DB78&lt;=0,DB87&lt;=0),(-DB74)/(DB10-DB12),IF(AND(DB87&gt;0,DB78&lt;=0),(-DB74-DB87)/(DB10-DB12),IF(AND(DB87&lt;=0,DB78&gt;0),(-DB74-DB78)/(DB10-DB12),(-DB74-DB78-DB87)/(DB10-DB12)))))</f>
        <v>#REF!</v>
      </c>
      <c r="DC76" s="145" t="e">
        <f>IF(OR(DC10-DC12=0,DC74&gt;=0),"-",IF(AND(DC78&lt;=0,DC87&lt;=0),(-DC74)/(DC10-DC12),IF(AND(DC87&gt;0,DC78&lt;=0),(-DC74-DC87)/(DC10-DC12),IF(AND(DC87&lt;=0,DC78&gt;0),(-DC74-DC78)/(DC10-DC12),(-DC74-DC78-DC87)/(DC10-DC12)))))</f>
        <v>#REF!</v>
      </c>
      <c r="DD76" s="145" t="e">
        <f>IF(OR(DD10-DD12=0,DD74&gt;=0),"-",IF(AND(DD78&lt;=0,DD87&lt;=0),(-DD74)/(DD10-DD12),IF(AND(DD87&gt;0,DD78&lt;=0),(-DD74-DD87)/(DD10-DD12),IF(AND(DD87&lt;=0,DD78&gt;0),(-DD74-DD78)/(DD10-DD12),(-DD74-DD78-DD87)/(DD10-DD12)))))</f>
        <v>#REF!</v>
      </c>
      <c r="DE76" s="144" t="s">
        <v>51</v>
      </c>
      <c r="DF76" s="144" t="s">
        <v>51</v>
      </c>
      <c r="DG76" s="145" t="e">
        <f>IF(OR(DG10-DG12=0,DG74&gt;=0),"-",IF(AND(DG78&lt;=0,DG87&lt;=0),(-DG74)/(DG10-DG12),IF(AND(DG87&gt;0,DG78&lt;=0),(-DG74-DG87)/(DG10-DG12),IF(AND(DG87&lt;=0,DG78&gt;0),(-DG74-DG78)/(DG10-DG12),(-DG74-DG78-DG87)/(DG10-DG12)))))</f>
        <v>#REF!</v>
      </c>
      <c r="DH76" s="145" t="e">
        <f>IF(OR(DH10-DH12=0,DH74&gt;=0),"-",IF(AND(DH78&lt;=0,DH87&lt;=0),(-DH74)/(DH10-DH12),IF(AND(DH87&gt;0,DH78&lt;=0),(-DH74-DH87)/(DH10-DH12),IF(AND(DH87&lt;=0,DH78&gt;0),(-DH74-DH78)/(DH10-DH12),(-DH74-DH78-DH87)/(DH10-DH12)))))</f>
        <v>#REF!</v>
      </c>
      <c r="DI76" s="145" t="e">
        <f>IF(OR(DI10-DI12=0,DI74&gt;=0),"-",IF(AND(DI78&lt;=0,DI87&lt;=0),(-DI74)/(DI10-DI12),IF(AND(DI87&gt;0,DI78&lt;=0),(-DI74-DI87)/(DI10-DI12),IF(AND(DI87&lt;=0,DI78&gt;0),(-DI74-DI78)/(DI10-DI12),(-DI74-DI78-DI87)/(DI10-DI12)))))</f>
        <v>#REF!</v>
      </c>
      <c r="DJ76" s="145" t="e">
        <f>IF(OR(DJ10-DJ12=0,DJ74&gt;=0),"-",IF(AND(DJ78&lt;=0,DJ87&lt;=0),(-DJ74)/(DJ10-DJ12),IF(AND(DJ87&gt;0,DJ78&lt;=0),(-DJ74-DJ87)/(DJ10-DJ12),IF(AND(DJ87&lt;=0,DJ78&gt;0),(-DJ74-DJ78)/(DJ10-DJ12),(-DJ74-DJ78-DJ87)/(DJ10-DJ12)))))</f>
        <v>#REF!</v>
      </c>
      <c r="DK76" s="144" t="s">
        <v>51</v>
      </c>
      <c r="DL76" s="144" t="s">
        <v>51</v>
      </c>
      <c r="DM76" s="145" t="e">
        <f t="shared" ref="DM76:DR76" si="407">IF(OR(DM10-DM12=0,DM74&gt;=0),"-",IF(AND(DM78&lt;=0,DM87&lt;=0),(-DM74)/(DM10-DM12),IF(AND(DM87&gt;0,DM78&lt;=0),(-DM74-DM87)/(DM10-DM12),IF(AND(DM87&lt;=0,DM78&gt;0),(-DM74-DM78)/(DM10-DM12),(-DM74-DM78-DM87)/(DM10-DM12)))))</f>
        <v>#REF!</v>
      </c>
      <c r="DN76" s="145" t="e">
        <f t="shared" si="407"/>
        <v>#REF!</v>
      </c>
      <c r="DO76" s="145" t="e">
        <f t="shared" si="407"/>
        <v>#REF!</v>
      </c>
      <c r="DP76" s="145" t="e">
        <f t="shared" si="407"/>
        <v>#REF!</v>
      </c>
      <c r="DQ76" s="145" t="e">
        <f t="shared" si="407"/>
        <v>#REF!</v>
      </c>
      <c r="DR76" s="145" t="e">
        <f t="shared" si="407"/>
        <v>#REF!</v>
      </c>
      <c r="DS76" s="144" t="s">
        <v>51</v>
      </c>
      <c r="DT76" s="144" t="s">
        <v>51</v>
      </c>
      <c r="DU76" s="144" t="s">
        <v>51</v>
      </c>
      <c r="DV76" s="144" t="s">
        <v>51</v>
      </c>
      <c r="DW76" s="73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217" t="s">
        <v>53</v>
      </c>
      <c r="B77" s="218"/>
      <c r="C77" s="130">
        <f t="shared" ref="C77:D77" si="408">C78+C81+C84+C87</f>
        <v>0</v>
      </c>
      <c r="D77" s="130">
        <f t="shared" si="408"/>
        <v>0</v>
      </c>
      <c r="E77" s="130">
        <f>E78+E81+E84+E87</f>
        <v>0</v>
      </c>
      <c r="F77" s="130">
        <f t="shared" ref="F77:N77" si="409">F78+F81+F84+F87</f>
        <v>0</v>
      </c>
      <c r="G77" s="130">
        <f t="shared" si="409"/>
        <v>0</v>
      </c>
      <c r="H77" s="130">
        <f t="shared" si="409"/>
        <v>0</v>
      </c>
      <c r="I77" s="130">
        <f t="shared" si="409"/>
        <v>0</v>
      </c>
      <c r="J77" s="130">
        <f t="shared" si="409"/>
        <v>0</v>
      </c>
      <c r="K77" s="130">
        <f t="shared" si="409"/>
        <v>0</v>
      </c>
      <c r="L77" s="130">
        <f t="shared" si="409"/>
        <v>0</v>
      </c>
      <c r="M77" s="130">
        <f t="shared" si="409"/>
        <v>0</v>
      </c>
      <c r="N77" s="130">
        <f t="shared" si="409"/>
        <v>0</v>
      </c>
      <c r="O77" s="130">
        <f>O78+O81+O84+O87</f>
        <v>0</v>
      </c>
      <c r="P77" s="130">
        <f t="shared" ref="P77:R77" si="410">P78+P81+P84+P87</f>
        <v>0</v>
      </c>
      <c r="Q77" s="130">
        <f t="shared" si="410"/>
        <v>0</v>
      </c>
      <c r="R77" s="130">
        <f t="shared" si="410"/>
        <v>0</v>
      </c>
      <c r="S77" s="130">
        <f>S78+S81+S84+S87</f>
        <v>0</v>
      </c>
      <c r="T77" s="130">
        <f t="shared" ref="T77:V77" si="411">T78+T81+T84+T87</f>
        <v>0</v>
      </c>
      <c r="U77" s="130">
        <f t="shared" si="411"/>
        <v>0</v>
      </c>
      <c r="V77" s="130">
        <f t="shared" si="411"/>
        <v>0</v>
      </c>
      <c r="W77" s="130">
        <f>W78+W81+W84+W87</f>
        <v>0</v>
      </c>
      <c r="X77" s="130">
        <f t="shared" ref="X77:Z77" si="412">X78+X81+X84+X87</f>
        <v>0</v>
      </c>
      <c r="Y77" s="130">
        <f t="shared" si="412"/>
        <v>0</v>
      </c>
      <c r="Z77" s="130">
        <f t="shared" si="412"/>
        <v>0</v>
      </c>
      <c r="AA77" s="130">
        <f>AA78+AA81+AA84+AA87</f>
        <v>0</v>
      </c>
      <c r="AB77" s="130">
        <f t="shared" ref="AB77:AD77" si="413">AB78+AB81+AB84+AB87</f>
        <v>0</v>
      </c>
      <c r="AC77" s="130">
        <f t="shared" si="413"/>
        <v>0</v>
      </c>
      <c r="AD77" s="130">
        <f t="shared" si="413"/>
        <v>0</v>
      </c>
      <c r="AE77" s="130">
        <f>AE78+AE81+AE84+AE87</f>
        <v>0</v>
      </c>
      <c r="AF77" s="130">
        <f t="shared" ref="AF77:AH77" si="414">AF78+AF81+AF84+AF87</f>
        <v>0</v>
      </c>
      <c r="AG77" s="130">
        <f t="shared" si="414"/>
        <v>0</v>
      </c>
      <c r="AH77" s="130">
        <f t="shared" si="414"/>
        <v>0</v>
      </c>
      <c r="AI77" s="130">
        <f>AI78+AI81+AI84+AI87</f>
        <v>0</v>
      </c>
      <c r="AJ77" s="130">
        <f t="shared" ref="AJ77:AL77" si="415">AJ78+AJ81+AJ84+AJ87</f>
        <v>0</v>
      </c>
      <c r="AK77" s="130">
        <f t="shared" si="415"/>
        <v>0</v>
      </c>
      <c r="AL77" s="130">
        <f t="shared" si="415"/>
        <v>0</v>
      </c>
      <c r="AM77" s="130">
        <f>AM78+AM81+AM84+AM87</f>
        <v>0</v>
      </c>
      <c r="AN77" s="130">
        <f t="shared" ref="AN77:AP77" si="416">AN78+AN81+AN84+AN87</f>
        <v>0</v>
      </c>
      <c r="AO77" s="130">
        <f t="shared" si="416"/>
        <v>0</v>
      </c>
      <c r="AP77" s="130">
        <f t="shared" si="416"/>
        <v>0</v>
      </c>
      <c r="AQ77" s="130">
        <f>AQ78+AQ81+AQ84+AQ87</f>
        <v>0</v>
      </c>
      <c r="AR77" s="130">
        <f t="shared" ref="AR77:AT77" si="417">AR78+AR81+AR84+AR87</f>
        <v>0</v>
      </c>
      <c r="AS77" s="130">
        <f t="shared" si="417"/>
        <v>0</v>
      </c>
      <c r="AT77" s="130">
        <f t="shared" si="417"/>
        <v>0</v>
      </c>
      <c r="AU77" s="130">
        <f>AU78+AU81+AU84+AU87</f>
        <v>0</v>
      </c>
      <c r="AV77" s="130">
        <f t="shared" ref="AV77:AZ77" si="418">AV78+AV81+AV84+AV87</f>
        <v>0</v>
      </c>
      <c r="AW77" s="130">
        <f t="shared" si="418"/>
        <v>0</v>
      </c>
      <c r="AX77" s="130">
        <f t="shared" si="418"/>
        <v>0</v>
      </c>
      <c r="AY77" s="130">
        <f t="shared" si="418"/>
        <v>0</v>
      </c>
      <c r="AZ77" s="130">
        <f t="shared" si="418"/>
        <v>0</v>
      </c>
      <c r="BA77" s="143" t="s">
        <v>51</v>
      </c>
      <c r="BB77" s="143" t="s">
        <v>51</v>
      </c>
      <c r="BC77" s="130">
        <f t="shared" ref="BC77:DJ77" si="419">BC78+BC81+BC84+BC87</f>
        <v>0</v>
      </c>
      <c r="BD77" s="130">
        <f t="shared" si="419"/>
        <v>0</v>
      </c>
      <c r="BE77" s="130">
        <f t="shared" si="419"/>
        <v>0</v>
      </c>
      <c r="BF77" s="130">
        <f t="shared" si="419"/>
        <v>0</v>
      </c>
      <c r="BG77" s="130">
        <f t="shared" si="419"/>
        <v>0</v>
      </c>
      <c r="BH77" s="130">
        <f t="shared" si="419"/>
        <v>0</v>
      </c>
      <c r="BI77" s="143" t="s">
        <v>51</v>
      </c>
      <c r="BJ77" s="143" t="s">
        <v>51</v>
      </c>
      <c r="BK77" s="130">
        <f t="shared" ref="BK77:BL77" si="420">BK78+BK81+BK84+BK87</f>
        <v>0</v>
      </c>
      <c r="BL77" s="130">
        <f t="shared" si="420"/>
        <v>0</v>
      </c>
      <c r="BM77" s="130">
        <f t="shared" si="419"/>
        <v>0</v>
      </c>
      <c r="BN77" s="130">
        <f t="shared" si="419"/>
        <v>0</v>
      </c>
      <c r="BO77" s="143" t="s">
        <v>51</v>
      </c>
      <c r="BP77" s="143" t="s">
        <v>51</v>
      </c>
      <c r="BQ77" s="130">
        <f t="shared" ref="BQ77:BR77" si="421">BQ78+BQ81+BQ84+BQ87</f>
        <v>0</v>
      </c>
      <c r="BR77" s="130">
        <f t="shared" si="421"/>
        <v>0</v>
      </c>
      <c r="BS77" s="130">
        <f t="shared" si="419"/>
        <v>0</v>
      </c>
      <c r="BT77" s="130">
        <f t="shared" si="419"/>
        <v>0</v>
      </c>
      <c r="BU77" s="143" t="s">
        <v>51</v>
      </c>
      <c r="BV77" s="143" t="s">
        <v>51</v>
      </c>
      <c r="BW77" s="130">
        <f t="shared" ref="BW77:BX77" si="422">BW78+BW81+BW84+BW87</f>
        <v>0</v>
      </c>
      <c r="BX77" s="130">
        <f t="shared" si="422"/>
        <v>0</v>
      </c>
      <c r="BY77" s="130">
        <f t="shared" si="419"/>
        <v>0</v>
      </c>
      <c r="BZ77" s="130">
        <f t="shared" si="419"/>
        <v>0</v>
      </c>
      <c r="CA77" s="143" t="s">
        <v>51</v>
      </c>
      <c r="CB77" s="143" t="s">
        <v>51</v>
      </c>
      <c r="CC77" s="130">
        <f t="shared" ref="CC77:CD77" si="423">CC78+CC81+CC84+CC87</f>
        <v>0</v>
      </c>
      <c r="CD77" s="130">
        <f t="shared" si="423"/>
        <v>0</v>
      </c>
      <c r="CE77" s="130">
        <f t="shared" si="419"/>
        <v>0</v>
      </c>
      <c r="CF77" s="130">
        <f t="shared" si="419"/>
        <v>0</v>
      </c>
      <c r="CG77" s="143" t="s">
        <v>51</v>
      </c>
      <c r="CH77" s="143" t="s">
        <v>51</v>
      </c>
      <c r="CI77" s="130">
        <f t="shared" ref="CI77:CJ77" si="424">CI78+CI81+CI84+CI87</f>
        <v>0</v>
      </c>
      <c r="CJ77" s="130">
        <f t="shared" si="424"/>
        <v>0</v>
      </c>
      <c r="CK77" s="130">
        <f t="shared" si="419"/>
        <v>0</v>
      </c>
      <c r="CL77" s="130">
        <f t="shared" si="419"/>
        <v>0</v>
      </c>
      <c r="CM77" s="143" t="s">
        <v>51</v>
      </c>
      <c r="CN77" s="143" t="s">
        <v>51</v>
      </c>
      <c r="CO77" s="130">
        <f t="shared" ref="CO77:CP77" si="425">CO78+CO81+CO84+CO87</f>
        <v>0</v>
      </c>
      <c r="CP77" s="130">
        <f t="shared" si="425"/>
        <v>0</v>
      </c>
      <c r="CQ77" s="130">
        <f t="shared" si="419"/>
        <v>0</v>
      </c>
      <c r="CR77" s="130">
        <f t="shared" si="419"/>
        <v>0</v>
      </c>
      <c r="CS77" s="143" t="s">
        <v>51</v>
      </c>
      <c r="CT77" s="143" t="s">
        <v>51</v>
      </c>
      <c r="CU77" s="130">
        <f t="shared" ref="CU77:CV77" si="426">CU78+CU81+CU84+CU87</f>
        <v>0</v>
      </c>
      <c r="CV77" s="130">
        <f t="shared" si="426"/>
        <v>0</v>
      </c>
      <c r="CW77" s="130">
        <f t="shared" si="419"/>
        <v>0</v>
      </c>
      <c r="CX77" s="130">
        <f t="shared" si="419"/>
        <v>0</v>
      </c>
      <c r="CY77" s="143" t="s">
        <v>51</v>
      </c>
      <c r="CZ77" s="143" t="s">
        <v>51</v>
      </c>
      <c r="DA77" s="130">
        <f t="shared" ref="DA77:DB77" si="427">DA78+DA81+DA84+DA87</f>
        <v>0</v>
      </c>
      <c r="DB77" s="130">
        <f t="shared" si="427"/>
        <v>0</v>
      </c>
      <c r="DC77" s="130">
        <f t="shared" si="419"/>
        <v>0</v>
      </c>
      <c r="DD77" s="130">
        <f t="shared" si="419"/>
        <v>0</v>
      </c>
      <c r="DE77" s="143" t="s">
        <v>51</v>
      </c>
      <c r="DF77" s="143" t="s">
        <v>51</v>
      </c>
      <c r="DG77" s="130">
        <f t="shared" ref="DG77:DH77" si="428">DG78+DG81+DG84+DG87</f>
        <v>0</v>
      </c>
      <c r="DH77" s="130">
        <f t="shared" si="428"/>
        <v>0</v>
      </c>
      <c r="DI77" s="130">
        <f t="shared" si="419"/>
        <v>0</v>
      </c>
      <c r="DJ77" s="130">
        <f t="shared" si="419"/>
        <v>0</v>
      </c>
      <c r="DK77" s="143" t="s">
        <v>51</v>
      </c>
      <c r="DL77" s="143" t="s">
        <v>51</v>
      </c>
      <c r="DM77" s="130">
        <f t="shared" ref="DM77:DR77" si="429">DM78+DM81+DM84+DM87</f>
        <v>0</v>
      </c>
      <c r="DN77" s="130">
        <f t="shared" si="429"/>
        <v>0</v>
      </c>
      <c r="DO77" s="130">
        <f t="shared" si="429"/>
        <v>0</v>
      </c>
      <c r="DP77" s="130">
        <f t="shared" si="429"/>
        <v>0</v>
      </c>
      <c r="DQ77" s="130">
        <f t="shared" si="429"/>
        <v>0</v>
      </c>
      <c r="DR77" s="130">
        <f t="shared" si="429"/>
        <v>0</v>
      </c>
      <c r="DS77" s="143" t="s">
        <v>51</v>
      </c>
      <c r="DT77" s="143" t="s">
        <v>51</v>
      </c>
      <c r="DU77" s="143" t="s">
        <v>51</v>
      </c>
      <c r="DV77" s="143" t="s">
        <v>51</v>
      </c>
      <c r="DW77" s="168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18" customHeight="1">
      <c r="A78" s="238" t="s">
        <v>54</v>
      </c>
      <c r="B78" s="239"/>
      <c r="C78" s="148">
        <f t="shared" ref="C78:AZ78" si="430">C79-C80</f>
        <v>0</v>
      </c>
      <c r="D78" s="148">
        <f t="shared" si="430"/>
        <v>0</v>
      </c>
      <c r="E78" s="148">
        <f>E79-E80</f>
        <v>0</v>
      </c>
      <c r="F78" s="148">
        <f t="shared" si="430"/>
        <v>0</v>
      </c>
      <c r="G78" s="148">
        <f t="shared" si="430"/>
        <v>0</v>
      </c>
      <c r="H78" s="148">
        <f t="shared" si="430"/>
        <v>0</v>
      </c>
      <c r="I78" s="148">
        <f t="shared" si="430"/>
        <v>0</v>
      </c>
      <c r="J78" s="148">
        <f t="shared" si="430"/>
        <v>0</v>
      </c>
      <c r="K78" s="148">
        <f t="shared" si="430"/>
        <v>0</v>
      </c>
      <c r="L78" s="148">
        <f t="shared" si="430"/>
        <v>0</v>
      </c>
      <c r="M78" s="148">
        <f t="shared" si="430"/>
        <v>0</v>
      </c>
      <c r="N78" s="148">
        <f t="shared" si="430"/>
        <v>0</v>
      </c>
      <c r="O78" s="148">
        <f t="shared" si="430"/>
        <v>0</v>
      </c>
      <c r="P78" s="148">
        <f t="shared" si="430"/>
        <v>0</v>
      </c>
      <c r="Q78" s="148">
        <f t="shared" si="430"/>
        <v>0</v>
      </c>
      <c r="R78" s="148">
        <f t="shared" si="430"/>
        <v>0</v>
      </c>
      <c r="S78" s="148">
        <f t="shared" si="430"/>
        <v>0</v>
      </c>
      <c r="T78" s="148">
        <f t="shared" si="430"/>
        <v>0</v>
      </c>
      <c r="U78" s="148">
        <f t="shared" si="430"/>
        <v>0</v>
      </c>
      <c r="V78" s="148">
        <f t="shared" si="430"/>
        <v>0</v>
      </c>
      <c r="W78" s="148">
        <f t="shared" si="430"/>
        <v>0</v>
      </c>
      <c r="X78" s="148">
        <f t="shared" si="430"/>
        <v>0</v>
      </c>
      <c r="Y78" s="148">
        <f t="shared" si="430"/>
        <v>0</v>
      </c>
      <c r="Z78" s="148">
        <f t="shared" si="430"/>
        <v>0</v>
      </c>
      <c r="AA78" s="148">
        <f t="shared" si="430"/>
        <v>0</v>
      </c>
      <c r="AB78" s="148">
        <f t="shared" si="430"/>
        <v>0</v>
      </c>
      <c r="AC78" s="148">
        <f t="shared" si="430"/>
        <v>0</v>
      </c>
      <c r="AD78" s="148">
        <f t="shared" si="430"/>
        <v>0</v>
      </c>
      <c r="AE78" s="148">
        <f t="shared" si="430"/>
        <v>0</v>
      </c>
      <c r="AF78" s="148">
        <f t="shared" si="430"/>
        <v>0</v>
      </c>
      <c r="AG78" s="148">
        <f t="shared" si="430"/>
        <v>0</v>
      </c>
      <c r="AH78" s="148">
        <f t="shared" si="430"/>
        <v>0</v>
      </c>
      <c r="AI78" s="148">
        <f t="shared" si="430"/>
        <v>0</v>
      </c>
      <c r="AJ78" s="148">
        <f t="shared" si="430"/>
        <v>0</v>
      </c>
      <c r="AK78" s="148">
        <f t="shared" si="430"/>
        <v>0</v>
      </c>
      <c r="AL78" s="148">
        <f t="shared" si="430"/>
        <v>0</v>
      </c>
      <c r="AM78" s="148">
        <f t="shared" si="430"/>
        <v>0</v>
      </c>
      <c r="AN78" s="148">
        <f t="shared" si="430"/>
        <v>0</v>
      </c>
      <c r="AO78" s="148">
        <f t="shared" si="430"/>
        <v>0</v>
      </c>
      <c r="AP78" s="148">
        <f t="shared" si="430"/>
        <v>0</v>
      </c>
      <c r="AQ78" s="148">
        <f t="shared" si="430"/>
        <v>0</v>
      </c>
      <c r="AR78" s="148">
        <f t="shared" si="430"/>
        <v>0</v>
      </c>
      <c r="AS78" s="148">
        <f t="shared" si="430"/>
        <v>0</v>
      </c>
      <c r="AT78" s="148">
        <f t="shared" si="430"/>
        <v>0</v>
      </c>
      <c r="AU78" s="148">
        <f t="shared" si="430"/>
        <v>0</v>
      </c>
      <c r="AV78" s="148">
        <f t="shared" si="430"/>
        <v>0</v>
      </c>
      <c r="AW78" s="148">
        <f t="shared" si="430"/>
        <v>0</v>
      </c>
      <c r="AX78" s="148">
        <f t="shared" si="430"/>
        <v>0</v>
      </c>
      <c r="AY78" s="148">
        <f t="shared" si="430"/>
        <v>0</v>
      </c>
      <c r="AZ78" s="148">
        <f t="shared" si="430"/>
        <v>0</v>
      </c>
      <c r="BA78" s="133">
        <f t="shared" ref="BA78:BB87" si="431">IF(E78=0,1,AY78/E78-1)</f>
        <v>1</v>
      </c>
      <c r="BB78" s="133">
        <f t="shared" si="431"/>
        <v>1</v>
      </c>
      <c r="BC78" s="148">
        <f t="shared" ref="BC78:DJ78" si="432">BC79-BC80</f>
        <v>0</v>
      </c>
      <c r="BD78" s="148">
        <f t="shared" si="432"/>
        <v>0</v>
      </c>
      <c r="BE78" s="148">
        <f t="shared" si="432"/>
        <v>0</v>
      </c>
      <c r="BF78" s="148">
        <f t="shared" si="432"/>
        <v>0</v>
      </c>
      <c r="BG78" s="148">
        <f t="shared" si="432"/>
        <v>0</v>
      </c>
      <c r="BH78" s="148">
        <f t="shared" si="432"/>
        <v>0</v>
      </c>
      <c r="BI78" s="133">
        <f t="shared" ref="BI78:BJ87" si="433">IF(K78=0,1,BG78/K78-1)</f>
        <v>1</v>
      </c>
      <c r="BJ78" s="133">
        <f t="shared" si="433"/>
        <v>1</v>
      </c>
      <c r="BK78" s="148">
        <f t="shared" ref="BK78:BL78" si="434">BK79-BK80</f>
        <v>0</v>
      </c>
      <c r="BL78" s="148">
        <f t="shared" si="434"/>
        <v>0</v>
      </c>
      <c r="BM78" s="148">
        <f t="shared" si="432"/>
        <v>0</v>
      </c>
      <c r="BN78" s="148">
        <f t="shared" si="432"/>
        <v>0</v>
      </c>
      <c r="BO78" s="133">
        <f t="shared" ref="BO78:BP87" si="435">IF(O78=0,1,BM78/O78-1)</f>
        <v>1</v>
      </c>
      <c r="BP78" s="133">
        <f t="shared" si="435"/>
        <v>1</v>
      </c>
      <c r="BQ78" s="148">
        <f t="shared" ref="BQ78:BR78" si="436">BQ79-BQ80</f>
        <v>0</v>
      </c>
      <c r="BR78" s="148">
        <f t="shared" si="436"/>
        <v>0</v>
      </c>
      <c r="BS78" s="148">
        <f t="shared" si="432"/>
        <v>0</v>
      </c>
      <c r="BT78" s="148">
        <f t="shared" si="432"/>
        <v>0</v>
      </c>
      <c r="BU78" s="133">
        <f t="shared" ref="BU78:BV87" si="437">IF(S78=0,1,BS78/S78-1)</f>
        <v>1</v>
      </c>
      <c r="BV78" s="133">
        <f t="shared" si="437"/>
        <v>1</v>
      </c>
      <c r="BW78" s="148">
        <f t="shared" ref="BW78:BX78" si="438">BW79-BW80</f>
        <v>0</v>
      </c>
      <c r="BX78" s="148">
        <f t="shared" si="438"/>
        <v>0</v>
      </c>
      <c r="BY78" s="148">
        <f t="shared" si="432"/>
        <v>0</v>
      </c>
      <c r="BZ78" s="148">
        <f t="shared" si="432"/>
        <v>0</v>
      </c>
      <c r="CA78" s="133">
        <f t="shared" ref="CA78:CB87" si="439">IF(W78=0,1,BY78/W78-1)</f>
        <v>1</v>
      </c>
      <c r="CB78" s="133">
        <f t="shared" si="439"/>
        <v>1</v>
      </c>
      <c r="CC78" s="148">
        <f t="shared" ref="CC78:CD78" si="440">CC79-CC80</f>
        <v>0</v>
      </c>
      <c r="CD78" s="148">
        <f t="shared" si="440"/>
        <v>0</v>
      </c>
      <c r="CE78" s="148">
        <f t="shared" si="432"/>
        <v>0</v>
      </c>
      <c r="CF78" s="148">
        <f t="shared" si="432"/>
        <v>0</v>
      </c>
      <c r="CG78" s="133">
        <f t="shared" ref="CG78:CH87" si="441">IF(AA78=0,1,CE78/AA78-1)</f>
        <v>1</v>
      </c>
      <c r="CH78" s="133">
        <f t="shared" si="441"/>
        <v>1</v>
      </c>
      <c r="CI78" s="148">
        <f t="shared" ref="CI78:CJ78" si="442">CI79-CI80</f>
        <v>0</v>
      </c>
      <c r="CJ78" s="148">
        <f t="shared" si="442"/>
        <v>0</v>
      </c>
      <c r="CK78" s="148">
        <f t="shared" si="432"/>
        <v>0</v>
      </c>
      <c r="CL78" s="148">
        <f t="shared" si="432"/>
        <v>0</v>
      </c>
      <c r="CM78" s="133">
        <f t="shared" ref="CM78:CN87" si="443">IF(AE78=0,1,CK78/AE78-1)</f>
        <v>1</v>
      </c>
      <c r="CN78" s="133">
        <f t="shared" si="443"/>
        <v>1</v>
      </c>
      <c r="CO78" s="148">
        <f t="shared" ref="CO78:CP78" si="444">CO79-CO80</f>
        <v>0</v>
      </c>
      <c r="CP78" s="148">
        <f t="shared" si="444"/>
        <v>0</v>
      </c>
      <c r="CQ78" s="148">
        <f t="shared" si="432"/>
        <v>0</v>
      </c>
      <c r="CR78" s="148">
        <f t="shared" si="432"/>
        <v>0</v>
      </c>
      <c r="CS78" s="133">
        <f t="shared" ref="CS78:CT87" si="445">IF(AI78=0,1,CQ78/AI78-1)</f>
        <v>1</v>
      </c>
      <c r="CT78" s="133">
        <f t="shared" si="445"/>
        <v>1</v>
      </c>
      <c r="CU78" s="148">
        <f t="shared" ref="CU78:CV78" si="446">CU79-CU80</f>
        <v>0</v>
      </c>
      <c r="CV78" s="148">
        <f t="shared" si="446"/>
        <v>0</v>
      </c>
      <c r="CW78" s="148">
        <f t="shared" si="432"/>
        <v>0</v>
      </c>
      <c r="CX78" s="148">
        <f t="shared" si="432"/>
        <v>0</v>
      </c>
      <c r="CY78" s="133">
        <f t="shared" ref="CY78:CZ87" si="447">IF(AM78=0,1,CW78/AM78-1)</f>
        <v>1</v>
      </c>
      <c r="CZ78" s="133">
        <f t="shared" si="447"/>
        <v>1</v>
      </c>
      <c r="DA78" s="148">
        <f t="shared" ref="DA78:DB78" si="448">DA79-DA80</f>
        <v>0</v>
      </c>
      <c r="DB78" s="148">
        <f t="shared" si="448"/>
        <v>0</v>
      </c>
      <c r="DC78" s="148">
        <f t="shared" si="432"/>
        <v>0</v>
      </c>
      <c r="DD78" s="148">
        <f t="shared" si="432"/>
        <v>0</v>
      </c>
      <c r="DE78" s="133">
        <f t="shared" ref="DE78:DF87" si="449">IF(AQ78=0,1,DC78/AQ78-1)</f>
        <v>1</v>
      </c>
      <c r="DF78" s="133">
        <f t="shared" si="449"/>
        <v>1</v>
      </c>
      <c r="DG78" s="148">
        <f t="shared" ref="DG78:DH78" si="450">DG79-DG80</f>
        <v>0</v>
      </c>
      <c r="DH78" s="148">
        <f t="shared" si="450"/>
        <v>0</v>
      </c>
      <c r="DI78" s="148">
        <f t="shared" si="432"/>
        <v>0</v>
      </c>
      <c r="DJ78" s="148">
        <f t="shared" si="432"/>
        <v>0</v>
      </c>
      <c r="DK78" s="133">
        <f t="shared" ref="DK78:DL87" si="451">IF(AU78=0,1,DI78/AU78-1)</f>
        <v>1</v>
      </c>
      <c r="DL78" s="133">
        <f t="shared" si="451"/>
        <v>1</v>
      </c>
      <c r="DM78" s="148">
        <f t="shared" ref="DM78:DR78" si="452">DM79-DM80</f>
        <v>0</v>
      </c>
      <c r="DN78" s="148">
        <f t="shared" si="452"/>
        <v>0</v>
      </c>
      <c r="DO78" s="148">
        <f t="shared" si="452"/>
        <v>0</v>
      </c>
      <c r="DP78" s="148">
        <f t="shared" si="452"/>
        <v>0</v>
      </c>
      <c r="DQ78" s="148">
        <f t="shared" si="452"/>
        <v>0</v>
      </c>
      <c r="DR78" s="148">
        <f t="shared" si="452"/>
        <v>0</v>
      </c>
      <c r="DS78" s="133">
        <f>IF($AY$78=0,1,DQ78/$AY$78-1)</f>
        <v>1</v>
      </c>
      <c r="DT78" s="133">
        <f>IF($AZ$78=0,1,DR78/$AZ$78-1)</f>
        <v>1</v>
      </c>
      <c r="DU78" s="133">
        <f t="shared" ref="DU78:DU87" si="453">IF($E78=0,1,DQ78/$E78-1)</f>
        <v>1</v>
      </c>
      <c r="DV78" s="133">
        <f t="shared" ref="DV78:DV87" si="454">IF($F78=0,1,DR78/$F78-1)</f>
        <v>1</v>
      </c>
      <c r="DW78" s="169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236" t="s">
        <v>144</v>
      </c>
      <c r="B79" s="237"/>
      <c r="C79" s="134">
        <f>'бюджет округа (района)'!C79+'бюджеты поселений'!C79</f>
        <v>0</v>
      </c>
      <c r="D79" s="137">
        <f>'бюджет округа (района)'!C79</f>
        <v>0</v>
      </c>
      <c r="E79" s="134">
        <f t="shared" ref="E79:F80" si="455">G79+I79+M79+Q79+U79+Y79+AC79+AG79+AK79+AO79+AS79+AW79</f>
        <v>0</v>
      </c>
      <c r="F79" s="137">
        <f t="shared" si="455"/>
        <v>0</v>
      </c>
      <c r="G79" s="134">
        <f>'бюджет округа (района)'!E79+'бюджеты поселений'!E79</f>
        <v>0</v>
      </c>
      <c r="H79" s="137">
        <f>'бюджет округа (района)'!E79</f>
        <v>0</v>
      </c>
      <c r="I79" s="134">
        <f>'бюджет округа (района)'!F79+'бюджеты поселений'!F79</f>
        <v>0</v>
      </c>
      <c r="J79" s="137">
        <f>'бюджет округа (района)'!F79</f>
        <v>0</v>
      </c>
      <c r="K79" s="137">
        <f>G79+I79</f>
        <v>0</v>
      </c>
      <c r="L79" s="137">
        <f>H79+J79</f>
        <v>0</v>
      </c>
      <c r="M79" s="134">
        <f>'бюджет округа (района)'!H79+'бюджеты поселений'!H79</f>
        <v>0</v>
      </c>
      <c r="N79" s="137">
        <f>'бюджет округа (района)'!H79</f>
        <v>0</v>
      </c>
      <c r="O79" s="137">
        <f>K79+M79</f>
        <v>0</v>
      </c>
      <c r="P79" s="137">
        <f>L79+N79</f>
        <v>0</v>
      </c>
      <c r="Q79" s="134">
        <f>'бюджет округа (района)'!J79+'бюджеты поселений'!J79</f>
        <v>0</v>
      </c>
      <c r="R79" s="137">
        <f>'бюджет округа (района)'!J79</f>
        <v>0</v>
      </c>
      <c r="S79" s="137">
        <f>O79+Q79</f>
        <v>0</v>
      </c>
      <c r="T79" s="137">
        <f>P79+R79</f>
        <v>0</v>
      </c>
      <c r="U79" s="134">
        <f>'бюджет округа (района)'!L79+'бюджеты поселений'!L79</f>
        <v>0</v>
      </c>
      <c r="V79" s="137">
        <f>'бюджет округа (района)'!L79</f>
        <v>0</v>
      </c>
      <c r="W79" s="137">
        <f>S79+U79</f>
        <v>0</v>
      </c>
      <c r="X79" s="137">
        <f>T79+V79</f>
        <v>0</v>
      </c>
      <c r="Y79" s="134">
        <f>'бюджет округа (района)'!N79+'бюджеты поселений'!N79</f>
        <v>0</v>
      </c>
      <c r="Z79" s="137">
        <f>'бюджет округа (района)'!N79</f>
        <v>0</v>
      </c>
      <c r="AA79" s="137">
        <f>W79+Y79</f>
        <v>0</v>
      </c>
      <c r="AB79" s="137">
        <f>X79+Z79</f>
        <v>0</v>
      </c>
      <c r="AC79" s="134">
        <f>'бюджет округа (района)'!P79+'бюджеты поселений'!P79</f>
        <v>0</v>
      </c>
      <c r="AD79" s="137">
        <f>'бюджет округа (района)'!P79</f>
        <v>0</v>
      </c>
      <c r="AE79" s="137">
        <f>AA79+AC79</f>
        <v>0</v>
      </c>
      <c r="AF79" s="137">
        <f>AB79+AD79</f>
        <v>0</v>
      </c>
      <c r="AG79" s="134">
        <f>'бюджет округа (района)'!R79+'бюджеты поселений'!R79</f>
        <v>0</v>
      </c>
      <c r="AH79" s="137">
        <f>'бюджет округа (района)'!R79</f>
        <v>0</v>
      </c>
      <c r="AI79" s="137">
        <f>AE79+AG79</f>
        <v>0</v>
      </c>
      <c r="AJ79" s="137">
        <f>AF79+AH79</f>
        <v>0</v>
      </c>
      <c r="AK79" s="134">
        <f>'бюджет округа (района)'!T79+'бюджеты поселений'!T79</f>
        <v>0</v>
      </c>
      <c r="AL79" s="137">
        <f>'бюджет округа (района)'!T79</f>
        <v>0</v>
      </c>
      <c r="AM79" s="137">
        <f>AI79+AK79</f>
        <v>0</v>
      </c>
      <c r="AN79" s="137">
        <f>AJ79+AL79</f>
        <v>0</v>
      </c>
      <c r="AO79" s="134">
        <f>'бюджет округа (района)'!V79+'бюджеты поселений'!V79</f>
        <v>0</v>
      </c>
      <c r="AP79" s="137">
        <f>'бюджет округа (района)'!V79</f>
        <v>0</v>
      </c>
      <c r="AQ79" s="137">
        <f>AM79+AO79</f>
        <v>0</v>
      </c>
      <c r="AR79" s="137">
        <f>AN79+AP79</f>
        <v>0</v>
      </c>
      <c r="AS79" s="134">
        <f>'бюджет округа (района)'!X79+'бюджеты поселений'!X79</f>
        <v>0</v>
      </c>
      <c r="AT79" s="137">
        <f>'бюджет округа (района)'!X79</f>
        <v>0</v>
      </c>
      <c r="AU79" s="137">
        <f>AQ79+AS79</f>
        <v>0</v>
      </c>
      <c r="AV79" s="137">
        <f>AR79+AT79</f>
        <v>0</v>
      </c>
      <c r="AW79" s="134">
        <f>'бюджет округа (района)'!Z79+'бюджеты поселений'!Z79</f>
        <v>0</v>
      </c>
      <c r="AX79" s="137">
        <f>'бюджет округа (района)'!Z79</f>
        <v>0</v>
      </c>
      <c r="AY79" s="134">
        <f>'бюджет округа (района)'!AA79+'бюджеты поселений'!AA79</f>
        <v>0</v>
      </c>
      <c r="AZ79" s="137">
        <f>'бюджет округа (района)'!AA79</f>
        <v>0</v>
      </c>
      <c r="BA79" s="135">
        <f t="shared" si="431"/>
        <v>1</v>
      </c>
      <c r="BB79" s="135">
        <f t="shared" si="431"/>
        <v>1</v>
      </c>
      <c r="BC79" s="134">
        <f>'бюджет округа (района)'!AC79+'бюджеты поселений'!AC79</f>
        <v>0</v>
      </c>
      <c r="BD79" s="137">
        <f>'бюджет округа (района)'!AC79</f>
        <v>0</v>
      </c>
      <c r="BE79" s="134">
        <f>'бюджет округа (района)'!AD79+'бюджеты поселений'!AD79</f>
        <v>0</v>
      </c>
      <c r="BF79" s="137">
        <f>'бюджет округа (района)'!AD79</f>
        <v>0</v>
      </c>
      <c r="BG79" s="137">
        <f>BC79+BE79</f>
        <v>0</v>
      </c>
      <c r="BH79" s="137">
        <f>BD79+BF79</f>
        <v>0</v>
      </c>
      <c r="BI79" s="135">
        <f t="shared" si="433"/>
        <v>1</v>
      </c>
      <c r="BJ79" s="135">
        <f t="shared" si="433"/>
        <v>1</v>
      </c>
      <c r="BK79" s="134">
        <f>'бюджет округа (района)'!AG79+'бюджеты поселений'!AG79</f>
        <v>0</v>
      </c>
      <c r="BL79" s="137">
        <f>'бюджет округа (района)'!AG79</f>
        <v>0</v>
      </c>
      <c r="BM79" s="137">
        <f>BG79+BK79</f>
        <v>0</v>
      </c>
      <c r="BN79" s="137">
        <f>BH79+BL79</f>
        <v>0</v>
      </c>
      <c r="BO79" s="135">
        <f t="shared" si="435"/>
        <v>1</v>
      </c>
      <c r="BP79" s="135">
        <f t="shared" si="435"/>
        <v>1</v>
      </c>
      <c r="BQ79" s="134">
        <f>'бюджет округа (района)'!AJ79+'бюджеты поселений'!AJ79</f>
        <v>0</v>
      </c>
      <c r="BR79" s="137">
        <f>'бюджет округа (района)'!AJ79</f>
        <v>0</v>
      </c>
      <c r="BS79" s="137">
        <f>BM79+BQ79</f>
        <v>0</v>
      </c>
      <c r="BT79" s="137">
        <f>BN79+BR79</f>
        <v>0</v>
      </c>
      <c r="BU79" s="135">
        <f t="shared" si="437"/>
        <v>1</v>
      </c>
      <c r="BV79" s="135">
        <f t="shared" si="437"/>
        <v>1</v>
      </c>
      <c r="BW79" s="134">
        <f>'бюджет округа (района)'!AM79+'бюджеты поселений'!AM79</f>
        <v>0</v>
      </c>
      <c r="BX79" s="137">
        <f>'бюджет округа (района)'!AM79</f>
        <v>0</v>
      </c>
      <c r="BY79" s="137">
        <f>BS79+BW79</f>
        <v>0</v>
      </c>
      <c r="BZ79" s="137">
        <f>BT79+BX79</f>
        <v>0</v>
      </c>
      <c r="CA79" s="135">
        <f t="shared" si="439"/>
        <v>1</v>
      </c>
      <c r="CB79" s="135">
        <f t="shared" si="439"/>
        <v>1</v>
      </c>
      <c r="CC79" s="134">
        <f>'бюджет округа (района)'!AP79+'бюджеты поселений'!AP79</f>
        <v>0</v>
      </c>
      <c r="CD79" s="137">
        <f>'бюджет округа (района)'!AP79</f>
        <v>0</v>
      </c>
      <c r="CE79" s="137">
        <f>BY79+CC79</f>
        <v>0</v>
      </c>
      <c r="CF79" s="137">
        <f>BZ79+CD79</f>
        <v>0</v>
      </c>
      <c r="CG79" s="135">
        <f t="shared" si="441"/>
        <v>1</v>
      </c>
      <c r="CH79" s="135">
        <f t="shared" si="441"/>
        <v>1</v>
      </c>
      <c r="CI79" s="134">
        <f>'бюджет округа (района)'!AS79+'бюджеты поселений'!AS79</f>
        <v>0</v>
      </c>
      <c r="CJ79" s="137">
        <f>'бюджет округа (района)'!AS79</f>
        <v>0</v>
      </c>
      <c r="CK79" s="137">
        <f>CE79+CI79</f>
        <v>0</v>
      </c>
      <c r="CL79" s="137">
        <f>CF79+CJ79</f>
        <v>0</v>
      </c>
      <c r="CM79" s="135">
        <f t="shared" si="443"/>
        <v>1</v>
      </c>
      <c r="CN79" s="135">
        <f t="shared" si="443"/>
        <v>1</v>
      </c>
      <c r="CO79" s="134">
        <f>'бюджет округа (района)'!AV79+'бюджеты поселений'!AV79</f>
        <v>0</v>
      </c>
      <c r="CP79" s="137">
        <f>'бюджет округа (района)'!AV79</f>
        <v>0</v>
      </c>
      <c r="CQ79" s="137">
        <f>CK79+CO79</f>
        <v>0</v>
      </c>
      <c r="CR79" s="137">
        <f>CL79+CP79</f>
        <v>0</v>
      </c>
      <c r="CS79" s="135">
        <f t="shared" si="445"/>
        <v>1</v>
      </c>
      <c r="CT79" s="135">
        <f t="shared" si="445"/>
        <v>1</v>
      </c>
      <c r="CU79" s="134">
        <f>'бюджет округа (района)'!AY79+'бюджеты поселений'!AY79</f>
        <v>0</v>
      </c>
      <c r="CV79" s="137">
        <f>'бюджет округа (района)'!AY79</f>
        <v>0</v>
      </c>
      <c r="CW79" s="137">
        <f>CQ79+CU79</f>
        <v>0</v>
      </c>
      <c r="CX79" s="137">
        <f>CR79+CV79</f>
        <v>0</v>
      </c>
      <c r="CY79" s="135">
        <f t="shared" si="447"/>
        <v>1</v>
      </c>
      <c r="CZ79" s="135">
        <f t="shared" si="447"/>
        <v>1</v>
      </c>
      <c r="DA79" s="134">
        <f>'бюджет округа (района)'!BB79+'бюджеты поселений'!BB79</f>
        <v>0</v>
      </c>
      <c r="DB79" s="137">
        <f>'бюджет округа (района)'!BB79</f>
        <v>0</v>
      </c>
      <c r="DC79" s="137">
        <f>CW79+DA79</f>
        <v>0</v>
      </c>
      <c r="DD79" s="137">
        <f>CX79+DB79</f>
        <v>0</v>
      </c>
      <c r="DE79" s="135">
        <f t="shared" si="449"/>
        <v>1</v>
      </c>
      <c r="DF79" s="135">
        <f t="shared" si="449"/>
        <v>1</v>
      </c>
      <c r="DG79" s="134">
        <f>'бюджет округа (района)'!BE79+'бюджеты поселений'!BE79</f>
        <v>0</v>
      </c>
      <c r="DH79" s="137">
        <f>'бюджет округа (района)'!BE79</f>
        <v>0</v>
      </c>
      <c r="DI79" s="137">
        <f>DC79+DG79</f>
        <v>0</v>
      </c>
      <c r="DJ79" s="137">
        <f>DD79+DH79</f>
        <v>0</v>
      </c>
      <c r="DK79" s="135">
        <f t="shared" si="451"/>
        <v>1</v>
      </c>
      <c r="DL79" s="135">
        <f t="shared" si="451"/>
        <v>1</v>
      </c>
      <c r="DM79" s="134">
        <f>'бюджет округа (района)'!BH79+'бюджеты поселений'!BH79</f>
        <v>0</v>
      </c>
      <c r="DN79" s="137">
        <f>'бюджет округа (района)'!BH79</f>
        <v>0</v>
      </c>
      <c r="DO79" s="134">
        <f>'бюджет округа (района)'!BI79+'бюджеты поселений'!BI79</f>
        <v>0</v>
      </c>
      <c r="DP79" s="137">
        <f>'бюджет округа (района)'!BI79</f>
        <v>0</v>
      </c>
      <c r="DQ79" s="134">
        <f>'бюджет округа (района)'!BJ79+'бюджеты поселений'!BJ79</f>
        <v>0</v>
      </c>
      <c r="DR79" s="137">
        <f>'бюджет округа (района)'!BJ79</f>
        <v>0</v>
      </c>
      <c r="DS79" s="135">
        <f>IF($AY$79=0,1,DQ79/$AY$79-1)</f>
        <v>1</v>
      </c>
      <c r="DT79" s="135">
        <f>IF($AZ$79=0,1,DR79/$AZ$79-1)</f>
        <v>1</v>
      </c>
      <c r="DU79" s="135">
        <f t="shared" si="453"/>
        <v>1</v>
      </c>
      <c r="DV79" s="135">
        <f t="shared" si="454"/>
        <v>1</v>
      </c>
      <c r="DW79" s="167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236" t="s">
        <v>145</v>
      </c>
      <c r="B80" s="237"/>
      <c r="C80" s="134">
        <f>'бюджет округа (района)'!C80+'бюджеты поселений'!C80</f>
        <v>0</v>
      </c>
      <c r="D80" s="137">
        <f>'бюджет округа (района)'!C80</f>
        <v>0</v>
      </c>
      <c r="E80" s="134">
        <f t="shared" si="455"/>
        <v>0</v>
      </c>
      <c r="F80" s="137">
        <f t="shared" si="455"/>
        <v>0</v>
      </c>
      <c r="G80" s="134">
        <f>'бюджет округа (района)'!E80+'бюджеты поселений'!E80</f>
        <v>0</v>
      </c>
      <c r="H80" s="137">
        <f>'бюджет округа (района)'!E80</f>
        <v>0</v>
      </c>
      <c r="I80" s="134">
        <f>'бюджет округа (района)'!F80+'бюджеты поселений'!F80</f>
        <v>0</v>
      </c>
      <c r="J80" s="137">
        <f>'бюджет округа (района)'!F80</f>
        <v>0</v>
      </c>
      <c r="K80" s="137">
        <f>G80+I80</f>
        <v>0</v>
      </c>
      <c r="L80" s="137">
        <f>H80+J80</f>
        <v>0</v>
      </c>
      <c r="M80" s="134">
        <f>'бюджет округа (района)'!H80+'бюджеты поселений'!H80</f>
        <v>0</v>
      </c>
      <c r="N80" s="137">
        <f>'бюджет округа (района)'!H80</f>
        <v>0</v>
      </c>
      <c r="O80" s="137">
        <f>K80+M80</f>
        <v>0</v>
      </c>
      <c r="P80" s="137">
        <f>L80+N80</f>
        <v>0</v>
      </c>
      <c r="Q80" s="134">
        <f>'бюджет округа (района)'!J80+'бюджеты поселений'!J80</f>
        <v>0</v>
      </c>
      <c r="R80" s="137">
        <f>'бюджет округа (района)'!J80</f>
        <v>0</v>
      </c>
      <c r="S80" s="137">
        <f>O80+Q80</f>
        <v>0</v>
      </c>
      <c r="T80" s="137">
        <f>P80+R80</f>
        <v>0</v>
      </c>
      <c r="U80" s="134">
        <f>'бюджет округа (района)'!L80+'бюджеты поселений'!L80</f>
        <v>0</v>
      </c>
      <c r="V80" s="137">
        <f>'бюджет округа (района)'!L80</f>
        <v>0</v>
      </c>
      <c r="W80" s="137">
        <f>S80+U80</f>
        <v>0</v>
      </c>
      <c r="X80" s="137">
        <f>T80+V80</f>
        <v>0</v>
      </c>
      <c r="Y80" s="134">
        <f>'бюджет округа (района)'!N80+'бюджеты поселений'!N80</f>
        <v>0</v>
      </c>
      <c r="Z80" s="137">
        <f>'бюджет округа (района)'!N80</f>
        <v>0</v>
      </c>
      <c r="AA80" s="137">
        <f>W80+Y80</f>
        <v>0</v>
      </c>
      <c r="AB80" s="137">
        <f>X80+Z80</f>
        <v>0</v>
      </c>
      <c r="AC80" s="134">
        <f>'бюджет округа (района)'!P80+'бюджеты поселений'!P80</f>
        <v>0</v>
      </c>
      <c r="AD80" s="137">
        <f>'бюджет округа (района)'!P80</f>
        <v>0</v>
      </c>
      <c r="AE80" s="137">
        <f>AA80+AC80</f>
        <v>0</v>
      </c>
      <c r="AF80" s="137">
        <f>AB80+AD80</f>
        <v>0</v>
      </c>
      <c r="AG80" s="134">
        <f>'бюджет округа (района)'!R80+'бюджеты поселений'!R80</f>
        <v>0</v>
      </c>
      <c r="AH80" s="137">
        <f>'бюджет округа (района)'!R80</f>
        <v>0</v>
      </c>
      <c r="AI80" s="137">
        <f>AE80+AG80</f>
        <v>0</v>
      </c>
      <c r="AJ80" s="137">
        <f>AF80+AH80</f>
        <v>0</v>
      </c>
      <c r="AK80" s="134">
        <f>'бюджет округа (района)'!T80+'бюджеты поселений'!T80</f>
        <v>0</v>
      </c>
      <c r="AL80" s="137">
        <f>'бюджет округа (района)'!T80</f>
        <v>0</v>
      </c>
      <c r="AM80" s="137">
        <f>AI80+AK80</f>
        <v>0</v>
      </c>
      <c r="AN80" s="137">
        <f>AJ80+AL80</f>
        <v>0</v>
      </c>
      <c r="AO80" s="134">
        <f>'бюджет округа (района)'!V80+'бюджеты поселений'!V80</f>
        <v>0</v>
      </c>
      <c r="AP80" s="137">
        <f>'бюджет округа (района)'!V80</f>
        <v>0</v>
      </c>
      <c r="AQ80" s="137">
        <f>AM80+AO80</f>
        <v>0</v>
      </c>
      <c r="AR80" s="137">
        <f>AN80+AP80</f>
        <v>0</v>
      </c>
      <c r="AS80" s="134">
        <f>'бюджет округа (района)'!X80+'бюджеты поселений'!X80</f>
        <v>0</v>
      </c>
      <c r="AT80" s="137">
        <f>'бюджет округа (района)'!X80</f>
        <v>0</v>
      </c>
      <c r="AU80" s="137">
        <f>AQ80+AS80</f>
        <v>0</v>
      </c>
      <c r="AV80" s="137">
        <f>AR80+AT80</f>
        <v>0</v>
      </c>
      <c r="AW80" s="134">
        <f>'бюджет округа (района)'!Z80+'бюджеты поселений'!Z80</f>
        <v>0</v>
      </c>
      <c r="AX80" s="137">
        <f>'бюджет округа (района)'!Z80</f>
        <v>0</v>
      </c>
      <c r="AY80" s="134">
        <f>'бюджет округа (района)'!AA80+'бюджеты поселений'!AA80</f>
        <v>0</v>
      </c>
      <c r="AZ80" s="137">
        <f>'бюджет округа (района)'!AA80</f>
        <v>0</v>
      </c>
      <c r="BA80" s="135">
        <f t="shared" si="431"/>
        <v>1</v>
      </c>
      <c r="BB80" s="135">
        <f t="shared" si="431"/>
        <v>1</v>
      </c>
      <c r="BC80" s="134">
        <f>'бюджет округа (района)'!AC80+'бюджеты поселений'!AC80</f>
        <v>0</v>
      </c>
      <c r="BD80" s="137">
        <f>'бюджет округа (района)'!AC80</f>
        <v>0</v>
      </c>
      <c r="BE80" s="134">
        <f>'бюджет округа (района)'!AD80+'бюджеты поселений'!AD80</f>
        <v>0</v>
      </c>
      <c r="BF80" s="137">
        <f>'бюджет округа (района)'!AD80</f>
        <v>0</v>
      </c>
      <c r="BG80" s="137">
        <f>BC80+BE80</f>
        <v>0</v>
      </c>
      <c r="BH80" s="137">
        <f>BD80+BF80</f>
        <v>0</v>
      </c>
      <c r="BI80" s="135">
        <f t="shared" si="433"/>
        <v>1</v>
      </c>
      <c r="BJ80" s="135">
        <f t="shared" si="433"/>
        <v>1</v>
      </c>
      <c r="BK80" s="134">
        <f>'бюджет округа (района)'!AG80+'бюджеты поселений'!AG80</f>
        <v>0</v>
      </c>
      <c r="BL80" s="137">
        <f>'бюджет округа (района)'!AG80</f>
        <v>0</v>
      </c>
      <c r="BM80" s="137">
        <f>BG80+BK80</f>
        <v>0</v>
      </c>
      <c r="BN80" s="137">
        <f>BH80+BL80</f>
        <v>0</v>
      </c>
      <c r="BO80" s="135">
        <f t="shared" si="435"/>
        <v>1</v>
      </c>
      <c r="BP80" s="135">
        <f t="shared" si="435"/>
        <v>1</v>
      </c>
      <c r="BQ80" s="134">
        <f>'бюджет округа (района)'!AJ80+'бюджеты поселений'!AJ80</f>
        <v>0</v>
      </c>
      <c r="BR80" s="137">
        <f>'бюджет округа (района)'!AJ80</f>
        <v>0</v>
      </c>
      <c r="BS80" s="137">
        <f>BM80+BQ80</f>
        <v>0</v>
      </c>
      <c r="BT80" s="137">
        <f>BN80+BR80</f>
        <v>0</v>
      </c>
      <c r="BU80" s="135">
        <f t="shared" si="437"/>
        <v>1</v>
      </c>
      <c r="BV80" s="135">
        <f t="shared" si="437"/>
        <v>1</v>
      </c>
      <c r="BW80" s="134">
        <f>'бюджет округа (района)'!AM80+'бюджеты поселений'!AM80</f>
        <v>0</v>
      </c>
      <c r="BX80" s="137">
        <f>'бюджет округа (района)'!AM80</f>
        <v>0</v>
      </c>
      <c r="BY80" s="137">
        <f>BS80+BW80</f>
        <v>0</v>
      </c>
      <c r="BZ80" s="137">
        <f>BT80+BX80</f>
        <v>0</v>
      </c>
      <c r="CA80" s="135">
        <f t="shared" si="439"/>
        <v>1</v>
      </c>
      <c r="CB80" s="135">
        <f t="shared" si="439"/>
        <v>1</v>
      </c>
      <c r="CC80" s="134">
        <f>'бюджет округа (района)'!AP80+'бюджеты поселений'!AP80</f>
        <v>0</v>
      </c>
      <c r="CD80" s="137">
        <f>'бюджет округа (района)'!AP80</f>
        <v>0</v>
      </c>
      <c r="CE80" s="137">
        <f>BY80+CC80</f>
        <v>0</v>
      </c>
      <c r="CF80" s="137">
        <f>BZ80+CD80</f>
        <v>0</v>
      </c>
      <c r="CG80" s="135">
        <f t="shared" si="441"/>
        <v>1</v>
      </c>
      <c r="CH80" s="135">
        <f t="shared" si="441"/>
        <v>1</v>
      </c>
      <c r="CI80" s="134">
        <f>'бюджет округа (района)'!AS80+'бюджеты поселений'!AS80</f>
        <v>0</v>
      </c>
      <c r="CJ80" s="137">
        <f>'бюджет округа (района)'!AS80</f>
        <v>0</v>
      </c>
      <c r="CK80" s="137">
        <f>CE80+CI80</f>
        <v>0</v>
      </c>
      <c r="CL80" s="137">
        <f>CF80+CJ80</f>
        <v>0</v>
      </c>
      <c r="CM80" s="135">
        <f t="shared" si="443"/>
        <v>1</v>
      </c>
      <c r="CN80" s="135">
        <f t="shared" si="443"/>
        <v>1</v>
      </c>
      <c r="CO80" s="134">
        <f>'бюджет округа (района)'!AV80+'бюджеты поселений'!AV80</f>
        <v>0</v>
      </c>
      <c r="CP80" s="137">
        <f>'бюджет округа (района)'!AV80</f>
        <v>0</v>
      </c>
      <c r="CQ80" s="137">
        <f>CK80+CO80</f>
        <v>0</v>
      </c>
      <c r="CR80" s="137">
        <f>CL80+CP80</f>
        <v>0</v>
      </c>
      <c r="CS80" s="135">
        <f t="shared" si="445"/>
        <v>1</v>
      </c>
      <c r="CT80" s="135">
        <f t="shared" si="445"/>
        <v>1</v>
      </c>
      <c r="CU80" s="134">
        <f>'бюджет округа (района)'!AY80+'бюджеты поселений'!AY80</f>
        <v>0</v>
      </c>
      <c r="CV80" s="137">
        <f>'бюджет округа (района)'!AY80</f>
        <v>0</v>
      </c>
      <c r="CW80" s="137">
        <f>CQ80+CU80</f>
        <v>0</v>
      </c>
      <c r="CX80" s="137">
        <f>CR80+CV80</f>
        <v>0</v>
      </c>
      <c r="CY80" s="135">
        <f t="shared" si="447"/>
        <v>1</v>
      </c>
      <c r="CZ80" s="135">
        <f t="shared" si="447"/>
        <v>1</v>
      </c>
      <c r="DA80" s="134">
        <f>'бюджет округа (района)'!BB80+'бюджеты поселений'!BB80</f>
        <v>0</v>
      </c>
      <c r="DB80" s="137">
        <f>'бюджет округа (района)'!BB80</f>
        <v>0</v>
      </c>
      <c r="DC80" s="137">
        <f>CW80+DA80</f>
        <v>0</v>
      </c>
      <c r="DD80" s="137">
        <f>CX80+DB80</f>
        <v>0</v>
      </c>
      <c r="DE80" s="135">
        <f t="shared" si="449"/>
        <v>1</v>
      </c>
      <c r="DF80" s="135">
        <f t="shared" si="449"/>
        <v>1</v>
      </c>
      <c r="DG80" s="134">
        <f>'бюджет округа (района)'!BE80+'бюджеты поселений'!BE80</f>
        <v>0</v>
      </c>
      <c r="DH80" s="137">
        <f>'бюджет округа (района)'!BE80</f>
        <v>0</v>
      </c>
      <c r="DI80" s="137">
        <f>DC80+DG80</f>
        <v>0</v>
      </c>
      <c r="DJ80" s="137">
        <f>DD80+DH80</f>
        <v>0</v>
      </c>
      <c r="DK80" s="135">
        <f t="shared" si="451"/>
        <v>1</v>
      </c>
      <c r="DL80" s="135">
        <f t="shared" si="451"/>
        <v>1</v>
      </c>
      <c r="DM80" s="134">
        <f>'бюджет округа (района)'!BH80+'бюджеты поселений'!BH80</f>
        <v>0</v>
      </c>
      <c r="DN80" s="137">
        <f>'бюджет округа (района)'!BH80</f>
        <v>0</v>
      </c>
      <c r="DO80" s="134">
        <f>'бюджет округа (района)'!BI80+'бюджеты поселений'!BI80</f>
        <v>0</v>
      </c>
      <c r="DP80" s="137">
        <f>'бюджет округа (района)'!BI80</f>
        <v>0</v>
      </c>
      <c r="DQ80" s="134">
        <f>'бюджет округа (района)'!BJ80+'бюджеты поселений'!BJ80</f>
        <v>0</v>
      </c>
      <c r="DR80" s="137">
        <f>'бюджет округа (района)'!BJ80</f>
        <v>0</v>
      </c>
      <c r="DS80" s="135">
        <f>IF($AY$80=0,1,DQ80/$AY$80-1)</f>
        <v>1</v>
      </c>
      <c r="DT80" s="135">
        <f>IF($AZ$80=0,1,DR80/$AZ$80-1)</f>
        <v>1</v>
      </c>
      <c r="DU80" s="135">
        <f t="shared" si="453"/>
        <v>1</v>
      </c>
      <c r="DV80" s="135">
        <f t="shared" si="454"/>
        <v>1</v>
      </c>
      <c r="DW80" s="167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238" t="s">
        <v>57</v>
      </c>
      <c r="B81" s="239"/>
      <c r="C81" s="148">
        <f>C82-C83</f>
        <v>0</v>
      </c>
      <c r="D81" s="148">
        <f t="shared" ref="D81:P81" si="456">D82-D83</f>
        <v>0</v>
      </c>
      <c r="E81" s="148">
        <f t="shared" si="456"/>
        <v>0</v>
      </c>
      <c r="F81" s="148">
        <f t="shared" si="456"/>
        <v>0</v>
      </c>
      <c r="G81" s="148">
        <f>G82-G83</f>
        <v>0</v>
      </c>
      <c r="H81" s="148">
        <f t="shared" ref="H81" si="457">H82-H83</f>
        <v>0</v>
      </c>
      <c r="I81" s="148">
        <f>I82-I83</f>
        <v>0</v>
      </c>
      <c r="J81" s="148">
        <f t="shared" ref="J81" si="458">J82-J83</f>
        <v>0</v>
      </c>
      <c r="K81" s="148">
        <f t="shared" si="456"/>
        <v>0</v>
      </c>
      <c r="L81" s="148">
        <f t="shared" si="456"/>
        <v>0</v>
      </c>
      <c r="M81" s="148">
        <f>M82-M83</f>
        <v>0</v>
      </c>
      <c r="N81" s="148">
        <f t="shared" ref="N81" si="459">N82-N83</f>
        <v>0</v>
      </c>
      <c r="O81" s="148">
        <f t="shared" si="456"/>
        <v>0</v>
      </c>
      <c r="P81" s="148">
        <f t="shared" si="456"/>
        <v>0</v>
      </c>
      <c r="Q81" s="148">
        <f>Q82-Q83</f>
        <v>0</v>
      </c>
      <c r="R81" s="148">
        <f t="shared" ref="R81:T81" si="460">R82-R83</f>
        <v>0</v>
      </c>
      <c r="S81" s="148">
        <f t="shared" si="460"/>
        <v>0</v>
      </c>
      <c r="T81" s="148">
        <f t="shared" si="460"/>
        <v>0</v>
      </c>
      <c r="U81" s="148">
        <f>U82-U83</f>
        <v>0</v>
      </c>
      <c r="V81" s="148">
        <f t="shared" ref="V81:X81" si="461">V82-V83</f>
        <v>0</v>
      </c>
      <c r="W81" s="148">
        <f t="shared" si="461"/>
        <v>0</v>
      </c>
      <c r="X81" s="148">
        <f t="shared" si="461"/>
        <v>0</v>
      </c>
      <c r="Y81" s="148">
        <f>Y82-Y83</f>
        <v>0</v>
      </c>
      <c r="Z81" s="148">
        <f t="shared" ref="Z81:AB81" si="462">Z82-Z83</f>
        <v>0</v>
      </c>
      <c r="AA81" s="148">
        <f t="shared" si="462"/>
        <v>0</v>
      </c>
      <c r="AB81" s="148">
        <f t="shared" si="462"/>
        <v>0</v>
      </c>
      <c r="AC81" s="148">
        <f>AC82-AC83</f>
        <v>0</v>
      </c>
      <c r="AD81" s="148">
        <f t="shared" ref="AD81:AF81" si="463">AD82-AD83</f>
        <v>0</v>
      </c>
      <c r="AE81" s="148">
        <f t="shared" si="463"/>
        <v>0</v>
      </c>
      <c r="AF81" s="148">
        <f t="shared" si="463"/>
        <v>0</v>
      </c>
      <c r="AG81" s="148">
        <f>AG82-AG83</f>
        <v>0</v>
      </c>
      <c r="AH81" s="148">
        <f t="shared" ref="AH81:AJ81" si="464">AH82-AH83</f>
        <v>0</v>
      </c>
      <c r="AI81" s="148">
        <f t="shared" si="464"/>
        <v>0</v>
      </c>
      <c r="AJ81" s="148">
        <f t="shared" si="464"/>
        <v>0</v>
      </c>
      <c r="AK81" s="148">
        <f>AK82-AK83</f>
        <v>0</v>
      </c>
      <c r="AL81" s="148">
        <f t="shared" ref="AL81:AN81" si="465">AL82-AL83</f>
        <v>0</v>
      </c>
      <c r="AM81" s="148">
        <f t="shared" si="465"/>
        <v>0</v>
      </c>
      <c r="AN81" s="148">
        <f t="shared" si="465"/>
        <v>0</v>
      </c>
      <c r="AO81" s="148">
        <f>AO82-AO83</f>
        <v>0</v>
      </c>
      <c r="AP81" s="148">
        <f t="shared" ref="AP81:AR81" si="466">AP82-AP83</f>
        <v>0</v>
      </c>
      <c r="AQ81" s="148">
        <f t="shared" si="466"/>
        <v>0</v>
      </c>
      <c r="AR81" s="148">
        <f t="shared" si="466"/>
        <v>0</v>
      </c>
      <c r="AS81" s="148">
        <f>AS82-AS83</f>
        <v>0</v>
      </c>
      <c r="AT81" s="148">
        <f t="shared" ref="AT81:AV81" si="467">AT82-AT83</f>
        <v>0</v>
      </c>
      <c r="AU81" s="148">
        <f t="shared" si="467"/>
        <v>0</v>
      </c>
      <c r="AV81" s="148">
        <f t="shared" si="467"/>
        <v>0</v>
      </c>
      <c r="AW81" s="148">
        <f>AW82-AW83</f>
        <v>0</v>
      </c>
      <c r="AX81" s="148">
        <f t="shared" ref="AX81" si="468">AX82-AX83</f>
        <v>0</v>
      </c>
      <c r="AY81" s="148">
        <f>AY82-AY83</f>
        <v>0</v>
      </c>
      <c r="AZ81" s="148">
        <f t="shared" ref="AZ81" si="469">AZ82-AZ83</f>
        <v>0</v>
      </c>
      <c r="BA81" s="133">
        <f t="shared" si="431"/>
        <v>1</v>
      </c>
      <c r="BB81" s="133">
        <f t="shared" si="431"/>
        <v>1</v>
      </c>
      <c r="BC81" s="148">
        <f>BC82-BC83</f>
        <v>0</v>
      </c>
      <c r="BD81" s="148">
        <f t="shared" ref="BD81" si="470">BD82-BD83</f>
        <v>0</v>
      </c>
      <c r="BE81" s="148">
        <f>BE82-BE83</f>
        <v>0</v>
      </c>
      <c r="BF81" s="148">
        <f t="shared" ref="BF81:DJ81" si="471">BF82-BF83</f>
        <v>0</v>
      </c>
      <c r="BG81" s="148">
        <f t="shared" si="471"/>
        <v>0</v>
      </c>
      <c r="BH81" s="148">
        <f t="shared" si="471"/>
        <v>0</v>
      </c>
      <c r="BI81" s="133">
        <f t="shared" si="433"/>
        <v>1</v>
      </c>
      <c r="BJ81" s="133">
        <f t="shared" si="433"/>
        <v>1</v>
      </c>
      <c r="BK81" s="148">
        <f>BK82-BK83</f>
        <v>0</v>
      </c>
      <c r="BL81" s="148">
        <f t="shared" ref="BL81" si="472">BL82-BL83</f>
        <v>0</v>
      </c>
      <c r="BM81" s="148">
        <f t="shared" si="471"/>
        <v>0</v>
      </c>
      <c r="BN81" s="148">
        <f t="shared" si="471"/>
        <v>0</v>
      </c>
      <c r="BO81" s="133">
        <f t="shared" si="435"/>
        <v>1</v>
      </c>
      <c r="BP81" s="133">
        <f t="shared" si="435"/>
        <v>1</v>
      </c>
      <c r="BQ81" s="148">
        <f>BQ82-BQ83</f>
        <v>0</v>
      </c>
      <c r="BR81" s="148">
        <f t="shared" ref="BR81" si="473">BR82-BR83</f>
        <v>0</v>
      </c>
      <c r="BS81" s="148">
        <f t="shared" si="471"/>
        <v>0</v>
      </c>
      <c r="BT81" s="148">
        <f t="shared" si="471"/>
        <v>0</v>
      </c>
      <c r="BU81" s="133">
        <f t="shared" si="437"/>
        <v>1</v>
      </c>
      <c r="BV81" s="133">
        <f t="shared" si="437"/>
        <v>1</v>
      </c>
      <c r="BW81" s="148">
        <f>BW82-BW83</f>
        <v>0</v>
      </c>
      <c r="BX81" s="148">
        <f t="shared" ref="BX81" si="474">BX82-BX83</f>
        <v>0</v>
      </c>
      <c r="BY81" s="148">
        <f t="shared" si="471"/>
        <v>0</v>
      </c>
      <c r="BZ81" s="148">
        <f t="shared" si="471"/>
        <v>0</v>
      </c>
      <c r="CA81" s="133">
        <f t="shared" si="439"/>
        <v>1</v>
      </c>
      <c r="CB81" s="133">
        <f t="shared" si="439"/>
        <v>1</v>
      </c>
      <c r="CC81" s="148">
        <f>CC82-CC83</f>
        <v>0</v>
      </c>
      <c r="CD81" s="148">
        <f t="shared" ref="CD81" si="475">CD82-CD83</f>
        <v>0</v>
      </c>
      <c r="CE81" s="148">
        <f t="shared" si="471"/>
        <v>0</v>
      </c>
      <c r="CF81" s="148">
        <f t="shared" si="471"/>
        <v>0</v>
      </c>
      <c r="CG81" s="133">
        <f t="shared" si="441"/>
        <v>1</v>
      </c>
      <c r="CH81" s="133">
        <f t="shared" si="441"/>
        <v>1</v>
      </c>
      <c r="CI81" s="148">
        <f>CI82-CI83</f>
        <v>0</v>
      </c>
      <c r="CJ81" s="148">
        <f t="shared" ref="CJ81" si="476">CJ82-CJ83</f>
        <v>0</v>
      </c>
      <c r="CK81" s="148">
        <f t="shared" si="471"/>
        <v>0</v>
      </c>
      <c r="CL81" s="148">
        <f t="shared" si="471"/>
        <v>0</v>
      </c>
      <c r="CM81" s="133">
        <f t="shared" si="443"/>
        <v>1</v>
      </c>
      <c r="CN81" s="133">
        <f t="shared" si="443"/>
        <v>1</v>
      </c>
      <c r="CO81" s="148">
        <f>CO82-CO83</f>
        <v>0</v>
      </c>
      <c r="CP81" s="148">
        <f t="shared" ref="CP81" si="477">CP82-CP83</f>
        <v>0</v>
      </c>
      <c r="CQ81" s="148">
        <f t="shared" si="471"/>
        <v>0</v>
      </c>
      <c r="CR81" s="148">
        <f t="shared" si="471"/>
        <v>0</v>
      </c>
      <c r="CS81" s="133">
        <f t="shared" si="445"/>
        <v>1</v>
      </c>
      <c r="CT81" s="133">
        <f t="shared" si="445"/>
        <v>1</v>
      </c>
      <c r="CU81" s="148">
        <f>CU82-CU83</f>
        <v>0</v>
      </c>
      <c r="CV81" s="148">
        <f t="shared" ref="CV81" si="478">CV82-CV83</f>
        <v>0</v>
      </c>
      <c r="CW81" s="148">
        <f t="shared" si="471"/>
        <v>0</v>
      </c>
      <c r="CX81" s="148">
        <f t="shared" si="471"/>
        <v>0</v>
      </c>
      <c r="CY81" s="133">
        <f t="shared" si="447"/>
        <v>1</v>
      </c>
      <c r="CZ81" s="133">
        <f t="shared" si="447"/>
        <v>1</v>
      </c>
      <c r="DA81" s="148">
        <f>DA82-DA83</f>
        <v>0</v>
      </c>
      <c r="DB81" s="148">
        <f t="shared" ref="DB81" si="479">DB82-DB83</f>
        <v>0</v>
      </c>
      <c r="DC81" s="148">
        <f t="shared" si="471"/>
        <v>0</v>
      </c>
      <c r="DD81" s="148">
        <f t="shared" si="471"/>
        <v>0</v>
      </c>
      <c r="DE81" s="133">
        <f t="shared" si="449"/>
        <v>1</v>
      </c>
      <c r="DF81" s="133">
        <f t="shared" si="449"/>
        <v>1</v>
      </c>
      <c r="DG81" s="148">
        <f>DG82-DG83</f>
        <v>0</v>
      </c>
      <c r="DH81" s="148">
        <f t="shared" ref="DH81" si="480">DH82-DH83</f>
        <v>0</v>
      </c>
      <c r="DI81" s="148">
        <f t="shared" si="471"/>
        <v>0</v>
      </c>
      <c r="DJ81" s="148">
        <f t="shared" si="471"/>
        <v>0</v>
      </c>
      <c r="DK81" s="133">
        <f t="shared" si="451"/>
        <v>1</v>
      </c>
      <c r="DL81" s="133">
        <f t="shared" si="451"/>
        <v>1</v>
      </c>
      <c r="DM81" s="148">
        <f>DM82-DM83</f>
        <v>0</v>
      </c>
      <c r="DN81" s="148">
        <f t="shared" ref="DN81" si="481">DN82-DN83</f>
        <v>0</v>
      </c>
      <c r="DO81" s="148">
        <f>DO82-DO83</f>
        <v>0</v>
      </c>
      <c r="DP81" s="148">
        <f t="shared" ref="DP81" si="482">DP82-DP83</f>
        <v>0</v>
      </c>
      <c r="DQ81" s="148">
        <f>DQ82-DQ83</f>
        <v>0</v>
      </c>
      <c r="DR81" s="148">
        <f t="shared" ref="DR81" si="483">DR82-DR83</f>
        <v>0</v>
      </c>
      <c r="DS81" s="133">
        <f>IF($AY$81=0,1,DQ81/$AY$81-1)</f>
        <v>1</v>
      </c>
      <c r="DT81" s="133">
        <f>IF($AZ$81=0,1,DR81/$AZ$81-1)</f>
        <v>1</v>
      </c>
      <c r="DU81" s="133">
        <f t="shared" si="453"/>
        <v>1</v>
      </c>
      <c r="DV81" s="133">
        <f t="shared" si="454"/>
        <v>1</v>
      </c>
      <c r="DW81" s="169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236" t="s">
        <v>144</v>
      </c>
      <c r="B82" s="237"/>
      <c r="C82" s="134">
        <f>'бюджет округа (района)'!C82+'бюджеты поселений'!C82</f>
        <v>0</v>
      </c>
      <c r="D82" s="137">
        <f>'бюджет округа (района)'!C82</f>
        <v>0</v>
      </c>
      <c r="E82" s="134">
        <f t="shared" ref="E82:F83" si="484">G82+I82+M82+Q82+U82+Y82+AC82+AG82+AK82+AO82+AS82+AW82</f>
        <v>0</v>
      </c>
      <c r="F82" s="137">
        <f t="shared" si="484"/>
        <v>0</v>
      </c>
      <c r="G82" s="134">
        <f>'бюджет округа (района)'!E82+'бюджеты поселений'!E82</f>
        <v>0</v>
      </c>
      <c r="H82" s="137">
        <f>'бюджет округа (района)'!E82</f>
        <v>0</v>
      </c>
      <c r="I82" s="134">
        <f>'бюджет округа (района)'!F82+'бюджеты поселений'!F82</f>
        <v>0</v>
      </c>
      <c r="J82" s="137">
        <f>'бюджет округа (района)'!F82</f>
        <v>0</v>
      </c>
      <c r="K82" s="137">
        <f t="shared" ref="K82:L83" si="485">G82+I82</f>
        <v>0</v>
      </c>
      <c r="L82" s="137">
        <f t="shared" si="485"/>
        <v>0</v>
      </c>
      <c r="M82" s="134">
        <f>'бюджет округа (района)'!H82+'бюджеты поселений'!H82</f>
        <v>0</v>
      </c>
      <c r="N82" s="137">
        <f>'бюджет округа (района)'!H82</f>
        <v>0</v>
      </c>
      <c r="O82" s="137">
        <f t="shared" ref="O82:P83" si="486">K82+M82</f>
        <v>0</v>
      </c>
      <c r="P82" s="137">
        <f t="shared" si="486"/>
        <v>0</v>
      </c>
      <c r="Q82" s="134">
        <f>'бюджет округа (района)'!J82+'бюджеты поселений'!J82</f>
        <v>0</v>
      </c>
      <c r="R82" s="137">
        <f>'бюджет округа (района)'!J82</f>
        <v>0</v>
      </c>
      <c r="S82" s="137">
        <f t="shared" ref="S82:T83" si="487">O82+Q82</f>
        <v>0</v>
      </c>
      <c r="T82" s="137">
        <f t="shared" si="487"/>
        <v>0</v>
      </c>
      <c r="U82" s="134">
        <f>'бюджет округа (района)'!L82+'бюджеты поселений'!L82</f>
        <v>0</v>
      </c>
      <c r="V82" s="137">
        <f>'бюджет округа (района)'!L82</f>
        <v>0</v>
      </c>
      <c r="W82" s="137">
        <f t="shared" ref="W82:X83" si="488">S82+U82</f>
        <v>0</v>
      </c>
      <c r="X82" s="137">
        <f t="shared" si="488"/>
        <v>0</v>
      </c>
      <c r="Y82" s="134">
        <f>'бюджет округа (района)'!N82+'бюджеты поселений'!N82</f>
        <v>0</v>
      </c>
      <c r="Z82" s="137">
        <f>'бюджет округа (района)'!N82</f>
        <v>0</v>
      </c>
      <c r="AA82" s="137">
        <f t="shared" ref="AA82:AB83" si="489">W82+Y82</f>
        <v>0</v>
      </c>
      <c r="AB82" s="137">
        <f t="shared" si="489"/>
        <v>0</v>
      </c>
      <c r="AC82" s="134">
        <f>'бюджет округа (района)'!P82+'бюджеты поселений'!P82</f>
        <v>0</v>
      </c>
      <c r="AD82" s="137">
        <f>'бюджет округа (района)'!P82</f>
        <v>0</v>
      </c>
      <c r="AE82" s="137">
        <f t="shared" ref="AE82:AF83" si="490">AA82+AC82</f>
        <v>0</v>
      </c>
      <c r="AF82" s="137">
        <f t="shared" si="490"/>
        <v>0</v>
      </c>
      <c r="AG82" s="134">
        <f>'бюджет округа (района)'!R82+'бюджеты поселений'!R82</f>
        <v>0</v>
      </c>
      <c r="AH82" s="137">
        <f>'бюджет округа (района)'!R82</f>
        <v>0</v>
      </c>
      <c r="AI82" s="137">
        <f t="shared" ref="AI82:AJ83" si="491">AE82+AG82</f>
        <v>0</v>
      </c>
      <c r="AJ82" s="137">
        <f t="shared" si="491"/>
        <v>0</v>
      </c>
      <c r="AK82" s="134">
        <f>'бюджет округа (района)'!T82+'бюджеты поселений'!T82</f>
        <v>0</v>
      </c>
      <c r="AL82" s="137">
        <f>'бюджет округа (района)'!T82</f>
        <v>0</v>
      </c>
      <c r="AM82" s="137">
        <f t="shared" ref="AM82:AN83" si="492">AI82+AK82</f>
        <v>0</v>
      </c>
      <c r="AN82" s="137">
        <f t="shared" si="492"/>
        <v>0</v>
      </c>
      <c r="AO82" s="134">
        <f>'бюджет округа (района)'!V82+'бюджеты поселений'!V82</f>
        <v>0</v>
      </c>
      <c r="AP82" s="137">
        <f>'бюджет округа (района)'!V82</f>
        <v>0</v>
      </c>
      <c r="AQ82" s="137">
        <f t="shared" ref="AQ82:AR83" si="493">AM82+AO82</f>
        <v>0</v>
      </c>
      <c r="AR82" s="137">
        <f t="shared" si="493"/>
        <v>0</v>
      </c>
      <c r="AS82" s="134">
        <f>'бюджет округа (района)'!X82+'бюджеты поселений'!X82</f>
        <v>0</v>
      </c>
      <c r="AT82" s="137">
        <f>'бюджет округа (района)'!X82</f>
        <v>0</v>
      </c>
      <c r="AU82" s="137">
        <f t="shared" ref="AU82:AV83" si="494">AQ82+AS82</f>
        <v>0</v>
      </c>
      <c r="AV82" s="137">
        <f t="shared" si="494"/>
        <v>0</v>
      </c>
      <c r="AW82" s="134">
        <f>'бюджет округа (района)'!Z82+'бюджеты поселений'!Z82</f>
        <v>0</v>
      </c>
      <c r="AX82" s="137">
        <f>'бюджет округа (района)'!Z82</f>
        <v>0</v>
      </c>
      <c r="AY82" s="134">
        <f>'бюджет округа (района)'!AA82+'бюджеты поселений'!AA82</f>
        <v>0</v>
      </c>
      <c r="AZ82" s="137">
        <f>'бюджет округа (района)'!AA82</f>
        <v>0</v>
      </c>
      <c r="BA82" s="135">
        <f t="shared" si="431"/>
        <v>1</v>
      </c>
      <c r="BB82" s="135">
        <f t="shared" si="431"/>
        <v>1</v>
      </c>
      <c r="BC82" s="134">
        <f>'бюджет округа (района)'!AC82+'бюджеты поселений'!AC82</f>
        <v>0</v>
      </c>
      <c r="BD82" s="137">
        <f>'бюджет округа (района)'!AC82</f>
        <v>0</v>
      </c>
      <c r="BE82" s="134">
        <f>'бюджет округа (района)'!AD82+'бюджеты поселений'!AD82</f>
        <v>0</v>
      </c>
      <c r="BF82" s="137">
        <f>'бюджет округа (района)'!AD82</f>
        <v>0</v>
      </c>
      <c r="BG82" s="137">
        <f t="shared" ref="BG82:BH83" si="495">BC82+BE82</f>
        <v>0</v>
      </c>
      <c r="BH82" s="137">
        <f t="shared" si="495"/>
        <v>0</v>
      </c>
      <c r="BI82" s="135">
        <f t="shared" si="433"/>
        <v>1</v>
      </c>
      <c r="BJ82" s="135">
        <f t="shared" si="433"/>
        <v>1</v>
      </c>
      <c r="BK82" s="134">
        <f>'бюджет округа (района)'!AG82+'бюджеты поселений'!AG82</f>
        <v>0</v>
      </c>
      <c r="BL82" s="137">
        <f>'бюджет округа (района)'!AG82</f>
        <v>0</v>
      </c>
      <c r="BM82" s="137">
        <f t="shared" ref="BM82:BN83" si="496">BG82+BK82</f>
        <v>0</v>
      </c>
      <c r="BN82" s="137">
        <f t="shared" si="496"/>
        <v>0</v>
      </c>
      <c r="BO82" s="135">
        <f t="shared" si="435"/>
        <v>1</v>
      </c>
      <c r="BP82" s="135">
        <f t="shared" si="435"/>
        <v>1</v>
      </c>
      <c r="BQ82" s="134">
        <f>'бюджет округа (района)'!AJ82+'бюджеты поселений'!AJ82</f>
        <v>0</v>
      </c>
      <c r="BR82" s="137">
        <f>'бюджет округа (района)'!AJ82</f>
        <v>0</v>
      </c>
      <c r="BS82" s="137">
        <f t="shared" ref="BS82:BT83" si="497">BM82+BQ82</f>
        <v>0</v>
      </c>
      <c r="BT82" s="137">
        <f t="shared" si="497"/>
        <v>0</v>
      </c>
      <c r="BU82" s="135">
        <f t="shared" si="437"/>
        <v>1</v>
      </c>
      <c r="BV82" s="135">
        <f t="shared" si="437"/>
        <v>1</v>
      </c>
      <c r="BW82" s="134">
        <f>'бюджет округа (района)'!AM82+'бюджеты поселений'!AM82</f>
        <v>0</v>
      </c>
      <c r="BX82" s="137">
        <f>'бюджет округа (района)'!AM82</f>
        <v>0</v>
      </c>
      <c r="BY82" s="137">
        <f t="shared" ref="BY82:BZ83" si="498">BS82+BW82</f>
        <v>0</v>
      </c>
      <c r="BZ82" s="137">
        <f t="shared" si="498"/>
        <v>0</v>
      </c>
      <c r="CA82" s="135">
        <f t="shared" si="439"/>
        <v>1</v>
      </c>
      <c r="CB82" s="135">
        <f t="shared" si="439"/>
        <v>1</v>
      </c>
      <c r="CC82" s="134">
        <f>'бюджет округа (района)'!AP82+'бюджеты поселений'!AP82</f>
        <v>0</v>
      </c>
      <c r="CD82" s="137">
        <f>'бюджет округа (района)'!AP82</f>
        <v>0</v>
      </c>
      <c r="CE82" s="137">
        <f t="shared" ref="CE82:CF83" si="499">BY82+CC82</f>
        <v>0</v>
      </c>
      <c r="CF82" s="137">
        <f t="shared" si="499"/>
        <v>0</v>
      </c>
      <c r="CG82" s="135">
        <f t="shared" si="441"/>
        <v>1</v>
      </c>
      <c r="CH82" s="135">
        <f t="shared" si="441"/>
        <v>1</v>
      </c>
      <c r="CI82" s="134">
        <f>'бюджет округа (района)'!AS82+'бюджеты поселений'!AS82</f>
        <v>0</v>
      </c>
      <c r="CJ82" s="137">
        <f>'бюджет округа (района)'!AS82</f>
        <v>0</v>
      </c>
      <c r="CK82" s="137">
        <f t="shared" ref="CK82:CL83" si="500">CE82+CI82</f>
        <v>0</v>
      </c>
      <c r="CL82" s="137">
        <f t="shared" si="500"/>
        <v>0</v>
      </c>
      <c r="CM82" s="135">
        <f t="shared" si="443"/>
        <v>1</v>
      </c>
      <c r="CN82" s="135">
        <f t="shared" si="443"/>
        <v>1</v>
      </c>
      <c r="CO82" s="134">
        <f>'бюджет округа (района)'!AV82+'бюджеты поселений'!AV82</f>
        <v>0</v>
      </c>
      <c r="CP82" s="137">
        <f>'бюджет округа (района)'!AV82</f>
        <v>0</v>
      </c>
      <c r="CQ82" s="137">
        <f t="shared" ref="CQ82:CR83" si="501">CK82+CO82</f>
        <v>0</v>
      </c>
      <c r="CR82" s="137">
        <f t="shared" si="501"/>
        <v>0</v>
      </c>
      <c r="CS82" s="135">
        <f t="shared" si="445"/>
        <v>1</v>
      </c>
      <c r="CT82" s="135">
        <f t="shared" si="445"/>
        <v>1</v>
      </c>
      <c r="CU82" s="134">
        <f>'бюджет округа (района)'!AY82+'бюджеты поселений'!AY82</f>
        <v>0</v>
      </c>
      <c r="CV82" s="137">
        <f>'бюджет округа (района)'!AY82</f>
        <v>0</v>
      </c>
      <c r="CW82" s="137">
        <f t="shared" ref="CW82:CX83" si="502">CQ82+CU82</f>
        <v>0</v>
      </c>
      <c r="CX82" s="137">
        <f t="shared" si="502"/>
        <v>0</v>
      </c>
      <c r="CY82" s="135">
        <f t="shared" si="447"/>
        <v>1</v>
      </c>
      <c r="CZ82" s="135">
        <f t="shared" si="447"/>
        <v>1</v>
      </c>
      <c r="DA82" s="134">
        <f>'бюджет округа (района)'!BB82+'бюджеты поселений'!BB82</f>
        <v>0</v>
      </c>
      <c r="DB82" s="137">
        <f>'бюджет округа (района)'!BB82</f>
        <v>0</v>
      </c>
      <c r="DC82" s="137">
        <f t="shared" ref="DC82:DD83" si="503">CW82+DA82</f>
        <v>0</v>
      </c>
      <c r="DD82" s="137">
        <f t="shared" si="503"/>
        <v>0</v>
      </c>
      <c r="DE82" s="135">
        <f t="shared" si="449"/>
        <v>1</v>
      </c>
      <c r="DF82" s="135">
        <f t="shared" si="449"/>
        <v>1</v>
      </c>
      <c r="DG82" s="134">
        <f>'бюджет округа (района)'!BE82+'бюджеты поселений'!BE82</f>
        <v>0</v>
      </c>
      <c r="DH82" s="137">
        <f>'бюджет округа (района)'!BE82</f>
        <v>0</v>
      </c>
      <c r="DI82" s="137">
        <f t="shared" ref="DI82:DJ83" si="504">DC82+DG82</f>
        <v>0</v>
      </c>
      <c r="DJ82" s="137">
        <f t="shared" si="504"/>
        <v>0</v>
      </c>
      <c r="DK82" s="135">
        <f t="shared" si="451"/>
        <v>1</v>
      </c>
      <c r="DL82" s="135">
        <f t="shared" si="451"/>
        <v>1</v>
      </c>
      <c r="DM82" s="134">
        <f>'бюджет округа (района)'!BH82+'бюджеты поселений'!BH82</f>
        <v>0</v>
      </c>
      <c r="DN82" s="137">
        <f>'бюджет округа (района)'!BH82</f>
        <v>0</v>
      </c>
      <c r="DO82" s="134">
        <f>'бюджет округа (района)'!BI82+'бюджеты поселений'!BI82</f>
        <v>0</v>
      </c>
      <c r="DP82" s="137">
        <f>'бюджет округа (района)'!BI82</f>
        <v>0</v>
      </c>
      <c r="DQ82" s="134">
        <f>'бюджет округа (района)'!BJ82+'бюджеты поселений'!BJ82</f>
        <v>0</v>
      </c>
      <c r="DR82" s="137">
        <f>'бюджет округа (района)'!BJ82</f>
        <v>0</v>
      </c>
      <c r="DS82" s="135">
        <f>IF($AY$82=0,1,DQ82/$AY$82-1)</f>
        <v>1</v>
      </c>
      <c r="DT82" s="135">
        <f>IF($AZ$82=0,1,DR82/$AZ$82-1)</f>
        <v>1</v>
      </c>
      <c r="DU82" s="135">
        <f t="shared" si="453"/>
        <v>1</v>
      </c>
      <c r="DV82" s="135">
        <f t="shared" si="454"/>
        <v>1</v>
      </c>
      <c r="DW82" s="167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236" t="s">
        <v>146</v>
      </c>
      <c r="B83" s="237"/>
      <c r="C83" s="134">
        <f>'бюджет округа (района)'!C83+'бюджеты поселений'!C83</f>
        <v>0</v>
      </c>
      <c r="D83" s="137">
        <f>'бюджет округа (района)'!C83</f>
        <v>0</v>
      </c>
      <c r="E83" s="134">
        <f t="shared" si="484"/>
        <v>0</v>
      </c>
      <c r="F83" s="137">
        <f t="shared" si="484"/>
        <v>0</v>
      </c>
      <c r="G83" s="134">
        <f>'бюджет округа (района)'!E83+'бюджеты поселений'!E83</f>
        <v>0</v>
      </c>
      <c r="H83" s="137">
        <f>'бюджет округа (района)'!E83</f>
        <v>0</v>
      </c>
      <c r="I83" s="134">
        <f>'бюджет округа (района)'!F83+'бюджеты поселений'!F83</f>
        <v>0</v>
      </c>
      <c r="J83" s="137">
        <f>'бюджет округа (района)'!F83</f>
        <v>0</v>
      </c>
      <c r="K83" s="137">
        <f t="shared" si="485"/>
        <v>0</v>
      </c>
      <c r="L83" s="137">
        <f t="shared" si="485"/>
        <v>0</v>
      </c>
      <c r="M83" s="134">
        <f>'бюджет округа (района)'!H83+'бюджеты поселений'!H83</f>
        <v>0</v>
      </c>
      <c r="N83" s="137">
        <f>'бюджет округа (района)'!H83</f>
        <v>0</v>
      </c>
      <c r="O83" s="137">
        <f t="shared" si="486"/>
        <v>0</v>
      </c>
      <c r="P83" s="137">
        <f t="shared" si="486"/>
        <v>0</v>
      </c>
      <c r="Q83" s="134">
        <f>'бюджет округа (района)'!J83+'бюджеты поселений'!J83</f>
        <v>0</v>
      </c>
      <c r="R83" s="137">
        <f>'бюджет округа (района)'!J83</f>
        <v>0</v>
      </c>
      <c r="S83" s="137">
        <f t="shared" si="487"/>
        <v>0</v>
      </c>
      <c r="T83" s="137">
        <f t="shared" si="487"/>
        <v>0</v>
      </c>
      <c r="U83" s="134">
        <f>'бюджет округа (района)'!L83+'бюджеты поселений'!L83</f>
        <v>0</v>
      </c>
      <c r="V83" s="137">
        <f>'бюджет округа (района)'!L83</f>
        <v>0</v>
      </c>
      <c r="W83" s="137">
        <f t="shared" si="488"/>
        <v>0</v>
      </c>
      <c r="X83" s="137">
        <f t="shared" si="488"/>
        <v>0</v>
      </c>
      <c r="Y83" s="134">
        <f>'бюджет округа (района)'!N83+'бюджеты поселений'!N83</f>
        <v>0</v>
      </c>
      <c r="Z83" s="137">
        <f>'бюджет округа (района)'!N83</f>
        <v>0</v>
      </c>
      <c r="AA83" s="137">
        <f t="shared" si="489"/>
        <v>0</v>
      </c>
      <c r="AB83" s="137">
        <f t="shared" si="489"/>
        <v>0</v>
      </c>
      <c r="AC83" s="134">
        <f>'бюджет округа (района)'!P83+'бюджеты поселений'!P83</f>
        <v>0</v>
      </c>
      <c r="AD83" s="137">
        <f>'бюджет округа (района)'!P83</f>
        <v>0</v>
      </c>
      <c r="AE83" s="137">
        <f t="shared" si="490"/>
        <v>0</v>
      </c>
      <c r="AF83" s="137">
        <f t="shared" si="490"/>
        <v>0</v>
      </c>
      <c r="AG83" s="134">
        <f>'бюджет округа (района)'!R83+'бюджеты поселений'!R83</f>
        <v>0</v>
      </c>
      <c r="AH83" s="137">
        <f>'бюджет округа (района)'!R83</f>
        <v>0</v>
      </c>
      <c r="AI83" s="137">
        <f t="shared" si="491"/>
        <v>0</v>
      </c>
      <c r="AJ83" s="137">
        <f t="shared" si="491"/>
        <v>0</v>
      </c>
      <c r="AK83" s="134">
        <f>'бюджет округа (района)'!T83+'бюджеты поселений'!T83</f>
        <v>0</v>
      </c>
      <c r="AL83" s="137">
        <f>'бюджет округа (района)'!T83</f>
        <v>0</v>
      </c>
      <c r="AM83" s="137">
        <f t="shared" si="492"/>
        <v>0</v>
      </c>
      <c r="AN83" s="137">
        <f t="shared" si="492"/>
        <v>0</v>
      </c>
      <c r="AO83" s="134">
        <f>'бюджет округа (района)'!V83+'бюджеты поселений'!V83</f>
        <v>0</v>
      </c>
      <c r="AP83" s="137">
        <f>'бюджет округа (района)'!V83</f>
        <v>0</v>
      </c>
      <c r="AQ83" s="137">
        <f t="shared" si="493"/>
        <v>0</v>
      </c>
      <c r="AR83" s="137">
        <f t="shared" si="493"/>
        <v>0</v>
      </c>
      <c r="AS83" s="134">
        <f>'бюджет округа (района)'!X83+'бюджеты поселений'!X83</f>
        <v>0</v>
      </c>
      <c r="AT83" s="137">
        <f>'бюджет округа (района)'!X83</f>
        <v>0</v>
      </c>
      <c r="AU83" s="137">
        <f t="shared" si="494"/>
        <v>0</v>
      </c>
      <c r="AV83" s="137">
        <f t="shared" si="494"/>
        <v>0</v>
      </c>
      <c r="AW83" s="134">
        <f>'бюджет округа (района)'!Z83+'бюджеты поселений'!Z83</f>
        <v>0</v>
      </c>
      <c r="AX83" s="137">
        <f>'бюджет округа (района)'!Z83</f>
        <v>0</v>
      </c>
      <c r="AY83" s="134">
        <f>'бюджет округа (района)'!AA83+'бюджеты поселений'!AA83</f>
        <v>0</v>
      </c>
      <c r="AZ83" s="137">
        <f>'бюджет округа (района)'!AA83</f>
        <v>0</v>
      </c>
      <c r="BA83" s="135">
        <f t="shared" si="431"/>
        <v>1</v>
      </c>
      <c r="BB83" s="135">
        <f t="shared" si="431"/>
        <v>1</v>
      </c>
      <c r="BC83" s="134">
        <f>'бюджет округа (района)'!AC83+'бюджеты поселений'!AC83</f>
        <v>0</v>
      </c>
      <c r="BD83" s="137">
        <f>'бюджет округа (района)'!AC83</f>
        <v>0</v>
      </c>
      <c r="BE83" s="134">
        <f>'бюджет округа (района)'!AD83+'бюджеты поселений'!AD83</f>
        <v>0</v>
      </c>
      <c r="BF83" s="137">
        <f>'бюджет округа (района)'!AD83</f>
        <v>0</v>
      </c>
      <c r="BG83" s="137">
        <f t="shared" si="495"/>
        <v>0</v>
      </c>
      <c r="BH83" s="137">
        <f t="shared" si="495"/>
        <v>0</v>
      </c>
      <c r="BI83" s="135">
        <f t="shared" si="433"/>
        <v>1</v>
      </c>
      <c r="BJ83" s="135">
        <f t="shared" si="433"/>
        <v>1</v>
      </c>
      <c r="BK83" s="134">
        <f>'бюджет округа (района)'!AG83+'бюджеты поселений'!AG83</f>
        <v>0</v>
      </c>
      <c r="BL83" s="137">
        <f>'бюджет округа (района)'!AG83</f>
        <v>0</v>
      </c>
      <c r="BM83" s="137">
        <f t="shared" si="496"/>
        <v>0</v>
      </c>
      <c r="BN83" s="137">
        <f t="shared" si="496"/>
        <v>0</v>
      </c>
      <c r="BO83" s="135">
        <f t="shared" si="435"/>
        <v>1</v>
      </c>
      <c r="BP83" s="135">
        <f t="shared" si="435"/>
        <v>1</v>
      </c>
      <c r="BQ83" s="134">
        <f>'бюджет округа (района)'!AJ83+'бюджеты поселений'!AJ83</f>
        <v>0</v>
      </c>
      <c r="BR83" s="137">
        <f>'бюджет округа (района)'!AJ83</f>
        <v>0</v>
      </c>
      <c r="BS83" s="137">
        <f t="shared" si="497"/>
        <v>0</v>
      </c>
      <c r="BT83" s="137">
        <f t="shared" si="497"/>
        <v>0</v>
      </c>
      <c r="BU83" s="135">
        <f t="shared" si="437"/>
        <v>1</v>
      </c>
      <c r="BV83" s="135">
        <f t="shared" si="437"/>
        <v>1</v>
      </c>
      <c r="BW83" s="134">
        <f>'бюджет округа (района)'!AM83+'бюджеты поселений'!AM83</f>
        <v>0</v>
      </c>
      <c r="BX83" s="137">
        <f>'бюджет округа (района)'!AM83</f>
        <v>0</v>
      </c>
      <c r="BY83" s="137">
        <f t="shared" si="498"/>
        <v>0</v>
      </c>
      <c r="BZ83" s="137">
        <f t="shared" si="498"/>
        <v>0</v>
      </c>
      <c r="CA83" s="135">
        <f t="shared" si="439"/>
        <v>1</v>
      </c>
      <c r="CB83" s="135">
        <f t="shared" si="439"/>
        <v>1</v>
      </c>
      <c r="CC83" s="134">
        <f>'бюджет округа (района)'!AP83+'бюджеты поселений'!AP83</f>
        <v>0</v>
      </c>
      <c r="CD83" s="137">
        <f>'бюджет округа (района)'!AP83</f>
        <v>0</v>
      </c>
      <c r="CE83" s="137">
        <f t="shared" si="499"/>
        <v>0</v>
      </c>
      <c r="CF83" s="137">
        <f t="shared" si="499"/>
        <v>0</v>
      </c>
      <c r="CG83" s="135">
        <f t="shared" si="441"/>
        <v>1</v>
      </c>
      <c r="CH83" s="135">
        <f t="shared" si="441"/>
        <v>1</v>
      </c>
      <c r="CI83" s="134">
        <f>'бюджет округа (района)'!AS83+'бюджеты поселений'!AS83</f>
        <v>0</v>
      </c>
      <c r="CJ83" s="137">
        <f>'бюджет округа (района)'!AS83</f>
        <v>0</v>
      </c>
      <c r="CK83" s="137">
        <f t="shared" si="500"/>
        <v>0</v>
      </c>
      <c r="CL83" s="137">
        <f t="shared" si="500"/>
        <v>0</v>
      </c>
      <c r="CM83" s="135">
        <f t="shared" si="443"/>
        <v>1</v>
      </c>
      <c r="CN83" s="135">
        <f t="shared" si="443"/>
        <v>1</v>
      </c>
      <c r="CO83" s="134">
        <f>'бюджет округа (района)'!AV83+'бюджеты поселений'!AV83</f>
        <v>0</v>
      </c>
      <c r="CP83" s="137">
        <f>'бюджет округа (района)'!AV83</f>
        <v>0</v>
      </c>
      <c r="CQ83" s="137">
        <f t="shared" si="501"/>
        <v>0</v>
      </c>
      <c r="CR83" s="137">
        <f t="shared" si="501"/>
        <v>0</v>
      </c>
      <c r="CS83" s="135">
        <f t="shared" si="445"/>
        <v>1</v>
      </c>
      <c r="CT83" s="135">
        <f t="shared" si="445"/>
        <v>1</v>
      </c>
      <c r="CU83" s="134">
        <f>'бюджет округа (района)'!AY83+'бюджеты поселений'!AY83</f>
        <v>0</v>
      </c>
      <c r="CV83" s="137">
        <f>'бюджет округа (района)'!AY83</f>
        <v>0</v>
      </c>
      <c r="CW83" s="137">
        <f t="shared" si="502"/>
        <v>0</v>
      </c>
      <c r="CX83" s="137">
        <f t="shared" si="502"/>
        <v>0</v>
      </c>
      <c r="CY83" s="135">
        <f t="shared" si="447"/>
        <v>1</v>
      </c>
      <c r="CZ83" s="135">
        <f t="shared" si="447"/>
        <v>1</v>
      </c>
      <c r="DA83" s="134">
        <f>'бюджет округа (района)'!BB83+'бюджеты поселений'!BB83</f>
        <v>0</v>
      </c>
      <c r="DB83" s="137">
        <f>'бюджет округа (района)'!BB83</f>
        <v>0</v>
      </c>
      <c r="DC83" s="137">
        <f t="shared" si="503"/>
        <v>0</v>
      </c>
      <c r="DD83" s="137">
        <f t="shared" si="503"/>
        <v>0</v>
      </c>
      <c r="DE83" s="135">
        <f t="shared" si="449"/>
        <v>1</v>
      </c>
      <c r="DF83" s="135">
        <f t="shared" si="449"/>
        <v>1</v>
      </c>
      <c r="DG83" s="134">
        <f>'бюджет округа (района)'!BE83+'бюджеты поселений'!BE83</f>
        <v>0</v>
      </c>
      <c r="DH83" s="137">
        <f>'бюджет округа (района)'!BE83</f>
        <v>0</v>
      </c>
      <c r="DI83" s="137">
        <f t="shared" si="504"/>
        <v>0</v>
      </c>
      <c r="DJ83" s="137">
        <f t="shared" si="504"/>
        <v>0</v>
      </c>
      <c r="DK83" s="135">
        <f t="shared" si="451"/>
        <v>1</v>
      </c>
      <c r="DL83" s="135">
        <f t="shared" si="451"/>
        <v>1</v>
      </c>
      <c r="DM83" s="134">
        <f>'бюджет округа (района)'!BH83+'бюджеты поселений'!BH83</f>
        <v>0</v>
      </c>
      <c r="DN83" s="137">
        <f>'бюджет округа (района)'!BH83</f>
        <v>0</v>
      </c>
      <c r="DO83" s="134">
        <f>'бюджет округа (района)'!BI83+'бюджеты поселений'!BI83</f>
        <v>0</v>
      </c>
      <c r="DP83" s="137">
        <f>'бюджет округа (района)'!BI83</f>
        <v>0</v>
      </c>
      <c r="DQ83" s="134">
        <f>'бюджет округа (района)'!BJ83+'бюджеты поселений'!BJ83</f>
        <v>0</v>
      </c>
      <c r="DR83" s="137">
        <f>'бюджет округа (района)'!BJ83</f>
        <v>0</v>
      </c>
      <c r="DS83" s="135">
        <f>IF($AY$83=0,1,DQ83/$AY$83-1)</f>
        <v>1</v>
      </c>
      <c r="DT83" s="135">
        <f>IF($AZ$83=0,1,DR83/$AZ$83-1)</f>
        <v>1</v>
      </c>
      <c r="DU83" s="135">
        <f t="shared" si="453"/>
        <v>1</v>
      </c>
      <c r="DV83" s="135">
        <f t="shared" si="454"/>
        <v>1</v>
      </c>
      <c r="DW83" s="167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238" t="s">
        <v>58</v>
      </c>
      <c r="B84" s="239"/>
      <c r="C84" s="148">
        <f t="shared" ref="C84:AZ84" si="505">C85-C86</f>
        <v>0</v>
      </c>
      <c r="D84" s="148">
        <f t="shared" si="505"/>
        <v>0</v>
      </c>
      <c r="E84" s="148">
        <f t="shared" si="505"/>
        <v>0</v>
      </c>
      <c r="F84" s="148">
        <f t="shared" si="505"/>
        <v>0</v>
      </c>
      <c r="G84" s="148">
        <f t="shared" si="505"/>
        <v>0</v>
      </c>
      <c r="H84" s="148">
        <f t="shared" si="505"/>
        <v>0</v>
      </c>
      <c r="I84" s="148">
        <f t="shared" si="505"/>
        <v>0</v>
      </c>
      <c r="J84" s="148">
        <f t="shared" si="505"/>
        <v>0</v>
      </c>
      <c r="K84" s="148">
        <f t="shared" si="505"/>
        <v>0</v>
      </c>
      <c r="L84" s="148">
        <f t="shared" si="505"/>
        <v>0</v>
      </c>
      <c r="M84" s="148">
        <f t="shared" si="505"/>
        <v>0</v>
      </c>
      <c r="N84" s="148">
        <f t="shared" si="505"/>
        <v>0</v>
      </c>
      <c r="O84" s="148">
        <f t="shared" si="505"/>
        <v>0</v>
      </c>
      <c r="P84" s="148">
        <f t="shared" si="505"/>
        <v>0</v>
      </c>
      <c r="Q84" s="148">
        <f t="shared" si="505"/>
        <v>0</v>
      </c>
      <c r="R84" s="148">
        <f t="shared" si="505"/>
        <v>0</v>
      </c>
      <c r="S84" s="148">
        <f t="shared" si="505"/>
        <v>0</v>
      </c>
      <c r="T84" s="148">
        <f t="shared" si="505"/>
        <v>0</v>
      </c>
      <c r="U84" s="148">
        <f t="shared" si="505"/>
        <v>0</v>
      </c>
      <c r="V84" s="148">
        <f t="shared" si="505"/>
        <v>0</v>
      </c>
      <c r="W84" s="148">
        <f t="shared" si="505"/>
        <v>0</v>
      </c>
      <c r="X84" s="148">
        <f t="shared" si="505"/>
        <v>0</v>
      </c>
      <c r="Y84" s="148">
        <f t="shared" si="505"/>
        <v>0</v>
      </c>
      <c r="Z84" s="148">
        <f t="shared" si="505"/>
        <v>0</v>
      </c>
      <c r="AA84" s="148">
        <f t="shared" si="505"/>
        <v>0</v>
      </c>
      <c r="AB84" s="148">
        <f t="shared" si="505"/>
        <v>0</v>
      </c>
      <c r="AC84" s="148">
        <f t="shared" si="505"/>
        <v>0</v>
      </c>
      <c r="AD84" s="148">
        <f t="shared" si="505"/>
        <v>0</v>
      </c>
      <c r="AE84" s="148">
        <f t="shared" si="505"/>
        <v>0</v>
      </c>
      <c r="AF84" s="148">
        <f t="shared" si="505"/>
        <v>0</v>
      </c>
      <c r="AG84" s="148">
        <f t="shared" si="505"/>
        <v>0</v>
      </c>
      <c r="AH84" s="148">
        <f t="shared" si="505"/>
        <v>0</v>
      </c>
      <c r="AI84" s="148">
        <f t="shared" si="505"/>
        <v>0</v>
      </c>
      <c r="AJ84" s="148">
        <f t="shared" si="505"/>
        <v>0</v>
      </c>
      <c r="AK84" s="148">
        <f t="shared" si="505"/>
        <v>0</v>
      </c>
      <c r="AL84" s="148">
        <f t="shared" si="505"/>
        <v>0</v>
      </c>
      <c r="AM84" s="148">
        <f t="shared" si="505"/>
        <v>0</v>
      </c>
      <c r="AN84" s="148">
        <f t="shared" si="505"/>
        <v>0</v>
      </c>
      <c r="AO84" s="148">
        <f t="shared" si="505"/>
        <v>0</v>
      </c>
      <c r="AP84" s="148">
        <f t="shared" si="505"/>
        <v>0</v>
      </c>
      <c r="AQ84" s="148">
        <f t="shared" si="505"/>
        <v>0</v>
      </c>
      <c r="AR84" s="148">
        <f t="shared" si="505"/>
        <v>0</v>
      </c>
      <c r="AS84" s="148">
        <f t="shared" si="505"/>
        <v>0</v>
      </c>
      <c r="AT84" s="148">
        <f t="shared" si="505"/>
        <v>0</v>
      </c>
      <c r="AU84" s="148">
        <f t="shared" si="505"/>
        <v>0</v>
      </c>
      <c r="AV84" s="148">
        <f t="shared" si="505"/>
        <v>0</v>
      </c>
      <c r="AW84" s="148">
        <f t="shared" si="505"/>
        <v>0</v>
      </c>
      <c r="AX84" s="148">
        <f t="shared" si="505"/>
        <v>0</v>
      </c>
      <c r="AY84" s="148">
        <f t="shared" si="505"/>
        <v>0</v>
      </c>
      <c r="AZ84" s="148">
        <f t="shared" si="505"/>
        <v>0</v>
      </c>
      <c r="BA84" s="133">
        <f t="shared" si="431"/>
        <v>1</v>
      </c>
      <c r="BB84" s="133">
        <f t="shared" si="431"/>
        <v>1</v>
      </c>
      <c r="BC84" s="148">
        <f t="shared" ref="BC84:DJ84" si="506">BC85-BC86</f>
        <v>0</v>
      </c>
      <c r="BD84" s="148">
        <f t="shared" si="506"/>
        <v>0</v>
      </c>
      <c r="BE84" s="148">
        <f t="shared" si="506"/>
        <v>0</v>
      </c>
      <c r="BF84" s="148">
        <f t="shared" si="506"/>
        <v>0</v>
      </c>
      <c r="BG84" s="148">
        <f t="shared" si="506"/>
        <v>0</v>
      </c>
      <c r="BH84" s="148">
        <f t="shared" si="506"/>
        <v>0</v>
      </c>
      <c r="BI84" s="133">
        <f t="shared" si="433"/>
        <v>1</v>
      </c>
      <c r="BJ84" s="133">
        <f t="shared" si="433"/>
        <v>1</v>
      </c>
      <c r="BK84" s="148">
        <f t="shared" ref="BK84:BL84" si="507">BK85-BK86</f>
        <v>0</v>
      </c>
      <c r="BL84" s="148">
        <f t="shared" si="507"/>
        <v>0</v>
      </c>
      <c r="BM84" s="148">
        <f t="shared" si="506"/>
        <v>0</v>
      </c>
      <c r="BN84" s="148">
        <f t="shared" si="506"/>
        <v>0</v>
      </c>
      <c r="BO84" s="133">
        <f t="shared" si="435"/>
        <v>1</v>
      </c>
      <c r="BP84" s="133">
        <f t="shared" si="435"/>
        <v>1</v>
      </c>
      <c r="BQ84" s="148">
        <f t="shared" ref="BQ84:BR84" si="508">BQ85-BQ86</f>
        <v>0</v>
      </c>
      <c r="BR84" s="148">
        <f t="shared" si="508"/>
        <v>0</v>
      </c>
      <c r="BS84" s="148">
        <f t="shared" si="506"/>
        <v>0</v>
      </c>
      <c r="BT84" s="148">
        <f t="shared" si="506"/>
        <v>0</v>
      </c>
      <c r="BU84" s="133">
        <f t="shared" si="437"/>
        <v>1</v>
      </c>
      <c r="BV84" s="133">
        <f t="shared" si="437"/>
        <v>1</v>
      </c>
      <c r="BW84" s="148">
        <f t="shared" ref="BW84:BX84" si="509">BW85-BW86</f>
        <v>0</v>
      </c>
      <c r="BX84" s="148">
        <f t="shared" si="509"/>
        <v>0</v>
      </c>
      <c r="BY84" s="148">
        <f t="shared" si="506"/>
        <v>0</v>
      </c>
      <c r="BZ84" s="148">
        <f t="shared" si="506"/>
        <v>0</v>
      </c>
      <c r="CA84" s="133">
        <f t="shared" si="439"/>
        <v>1</v>
      </c>
      <c r="CB84" s="133">
        <f t="shared" si="439"/>
        <v>1</v>
      </c>
      <c r="CC84" s="148">
        <f t="shared" ref="CC84:CD84" si="510">CC85-CC86</f>
        <v>0</v>
      </c>
      <c r="CD84" s="148">
        <f t="shared" si="510"/>
        <v>0</v>
      </c>
      <c r="CE84" s="148">
        <f t="shared" si="506"/>
        <v>0</v>
      </c>
      <c r="CF84" s="148">
        <f t="shared" si="506"/>
        <v>0</v>
      </c>
      <c r="CG84" s="133">
        <f t="shared" si="441"/>
        <v>1</v>
      </c>
      <c r="CH84" s="133">
        <f t="shared" si="441"/>
        <v>1</v>
      </c>
      <c r="CI84" s="148">
        <f t="shared" ref="CI84:CJ84" si="511">CI85-CI86</f>
        <v>0</v>
      </c>
      <c r="CJ84" s="148">
        <f t="shared" si="511"/>
        <v>0</v>
      </c>
      <c r="CK84" s="148">
        <f t="shared" si="506"/>
        <v>0</v>
      </c>
      <c r="CL84" s="148">
        <f t="shared" si="506"/>
        <v>0</v>
      </c>
      <c r="CM84" s="133">
        <f t="shared" si="443"/>
        <v>1</v>
      </c>
      <c r="CN84" s="133">
        <f t="shared" si="443"/>
        <v>1</v>
      </c>
      <c r="CO84" s="148">
        <f t="shared" ref="CO84:CP84" si="512">CO85-CO86</f>
        <v>0</v>
      </c>
      <c r="CP84" s="148">
        <f t="shared" si="512"/>
        <v>0</v>
      </c>
      <c r="CQ84" s="148">
        <f t="shared" si="506"/>
        <v>0</v>
      </c>
      <c r="CR84" s="148">
        <f t="shared" si="506"/>
        <v>0</v>
      </c>
      <c r="CS84" s="133">
        <f t="shared" si="445"/>
        <v>1</v>
      </c>
      <c r="CT84" s="133">
        <f t="shared" si="445"/>
        <v>1</v>
      </c>
      <c r="CU84" s="148">
        <f t="shared" ref="CU84:CV84" si="513">CU85-CU86</f>
        <v>0</v>
      </c>
      <c r="CV84" s="148">
        <f t="shared" si="513"/>
        <v>0</v>
      </c>
      <c r="CW84" s="148">
        <f t="shared" si="506"/>
        <v>0</v>
      </c>
      <c r="CX84" s="148">
        <f t="shared" si="506"/>
        <v>0</v>
      </c>
      <c r="CY84" s="133">
        <f t="shared" si="447"/>
        <v>1</v>
      </c>
      <c r="CZ84" s="133">
        <f t="shared" si="447"/>
        <v>1</v>
      </c>
      <c r="DA84" s="148">
        <f t="shared" ref="DA84:DB84" si="514">DA85-DA86</f>
        <v>0</v>
      </c>
      <c r="DB84" s="148">
        <f t="shared" si="514"/>
        <v>0</v>
      </c>
      <c r="DC84" s="148">
        <f t="shared" si="506"/>
        <v>0</v>
      </c>
      <c r="DD84" s="148">
        <f t="shared" si="506"/>
        <v>0</v>
      </c>
      <c r="DE84" s="133">
        <f t="shared" si="449"/>
        <v>1</v>
      </c>
      <c r="DF84" s="133">
        <f t="shared" si="449"/>
        <v>1</v>
      </c>
      <c r="DG84" s="148">
        <f t="shared" ref="DG84:DH84" si="515">DG85-DG86</f>
        <v>0</v>
      </c>
      <c r="DH84" s="148">
        <f t="shared" si="515"/>
        <v>0</v>
      </c>
      <c r="DI84" s="148">
        <f t="shared" si="506"/>
        <v>0</v>
      </c>
      <c r="DJ84" s="148">
        <f t="shared" si="506"/>
        <v>0</v>
      </c>
      <c r="DK84" s="133">
        <f t="shared" si="451"/>
        <v>1</v>
      </c>
      <c r="DL84" s="133">
        <f t="shared" si="451"/>
        <v>1</v>
      </c>
      <c r="DM84" s="148">
        <f t="shared" ref="DM84:DR84" si="516">DM85-DM86</f>
        <v>0</v>
      </c>
      <c r="DN84" s="148">
        <f t="shared" si="516"/>
        <v>0</v>
      </c>
      <c r="DO84" s="148">
        <f t="shared" si="516"/>
        <v>0</v>
      </c>
      <c r="DP84" s="148">
        <f t="shared" si="516"/>
        <v>0</v>
      </c>
      <c r="DQ84" s="148">
        <f t="shared" si="516"/>
        <v>0</v>
      </c>
      <c r="DR84" s="148">
        <f t="shared" si="516"/>
        <v>0</v>
      </c>
      <c r="DS84" s="133">
        <f>IF($AY$84=0,1,DQ84/$AY$84-1)</f>
        <v>1</v>
      </c>
      <c r="DT84" s="133">
        <f>IF($AZ$84=0,1,DR84/$AZ$84-1)</f>
        <v>1</v>
      </c>
      <c r="DU84" s="133">
        <f t="shared" si="453"/>
        <v>1</v>
      </c>
      <c r="DV84" s="133">
        <f t="shared" si="454"/>
        <v>1</v>
      </c>
      <c r="DW84" s="169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236" t="s">
        <v>147</v>
      </c>
      <c r="B85" s="237"/>
      <c r="C85" s="134">
        <f>'бюджет округа (района)'!C85+'бюджеты поселений'!C85</f>
        <v>0</v>
      </c>
      <c r="D85" s="137">
        <f>'бюджет округа (района)'!C85</f>
        <v>0</v>
      </c>
      <c r="E85" s="134">
        <f t="shared" ref="E85:F86" si="517">G85+I85+M85+Q85+U85+Y85+AC85+AG85+AK85+AO85+AS85+AW85</f>
        <v>0</v>
      </c>
      <c r="F85" s="137">
        <f t="shared" si="517"/>
        <v>0</v>
      </c>
      <c r="G85" s="134">
        <f>'бюджет округа (района)'!E85+'бюджеты поселений'!E85</f>
        <v>0</v>
      </c>
      <c r="H85" s="137">
        <f>'бюджет округа (района)'!E85</f>
        <v>0</v>
      </c>
      <c r="I85" s="134">
        <f>'бюджет округа (района)'!F85+'бюджеты поселений'!F85</f>
        <v>0</v>
      </c>
      <c r="J85" s="137">
        <f>'бюджет округа (района)'!F85</f>
        <v>0</v>
      </c>
      <c r="K85" s="137">
        <f t="shared" ref="K85:L86" si="518">G85+I85</f>
        <v>0</v>
      </c>
      <c r="L85" s="137">
        <f t="shared" si="518"/>
        <v>0</v>
      </c>
      <c r="M85" s="134">
        <f>'бюджет округа (района)'!H85+'бюджеты поселений'!H85</f>
        <v>0</v>
      </c>
      <c r="N85" s="137">
        <f>'бюджет округа (района)'!H85</f>
        <v>0</v>
      </c>
      <c r="O85" s="137">
        <f t="shared" ref="O85:P86" si="519">K85+M85</f>
        <v>0</v>
      </c>
      <c r="P85" s="137">
        <f t="shared" si="519"/>
        <v>0</v>
      </c>
      <c r="Q85" s="134">
        <f>'бюджет округа (района)'!J85+'бюджеты поселений'!J85</f>
        <v>0</v>
      </c>
      <c r="R85" s="137">
        <f>'бюджет округа (района)'!J85</f>
        <v>0</v>
      </c>
      <c r="S85" s="137">
        <f t="shared" ref="S85:T86" si="520">O85+Q85</f>
        <v>0</v>
      </c>
      <c r="T85" s="137">
        <f t="shared" si="520"/>
        <v>0</v>
      </c>
      <c r="U85" s="134">
        <f>'бюджет округа (района)'!L85+'бюджеты поселений'!L85</f>
        <v>0</v>
      </c>
      <c r="V85" s="137">
        <f>'бюджет округа (района)'!L85</f>
        <v>0</v>
      </c>
      <c r="W85" s="137">
        <f t="shared" ref="W85:X86" si="521">S85+U85</f>
        <v>0</v>
      </c>
      <c r="X85" s="137">
        <f t="shared" si="521"/>
        <v>0</v>
      </c>
      <c r="Y85" s="134">
        <f>'бюджет округа (района)'!N85+'бюджеты поселений'!N85</f>
        <v>0</v>
      </c>
      <c r="Z85" s="137">
        <f>'бюджет округа (района)'!N85</f>
        <v>0</v>
      </c>
      <c r="AA85" s="137">
        <f t="shared" ref="AA85:AB86" si="522">W85+Y85</f>
        <v>0</v>
      </c>
      <c r="AB85" s="137">
        <f t="shared" si="522"/>
        <v>0</v>
      </c>
      <c r="AC85" s="134">
        <f>'бюджет округа (района)'!P85+'бюджеты поселений'!P85</f>
        <v>0</v>
      </c>
      <c r="AD85" s="137">
        <f>'бюджет округа (района)'!P85</f>
        <v>0</v>
      </c>
      <c r="AE85" s="137">
        <f t="shared" ref="AE85:AF86" si="523">AA85+AC85</f>
        <v>0</v>
      </c>
      <c r="AF85" s="137">
        <f t="shared" si="523"/>
        <v>0</v>
      </c>
      <c r="AG85" s="134">
        <f>'бюджет округа (района)'!R85+'бюджеты поселений'!R85</f>
        <v>0</v>
      </c>
      <c r="AH85" s="137">
        <f>'бюджет округа (района)'!R85</f>
        <v>0</v>
      </c>
      <c r="AI85" s="137">
        <f t="shared" ref="AI85:AJ86" si="524">AE85+AG85</f>
        <v>0</v>
      </c>
      <c r="AJ85" s="137">
        <f t="shared" si="524"/>
        <v>0</v>
      </c>
      <c r="AK85" s="134">
        <f>'бюджет округа (района)'!T85+'бюджеты поселений'!T85</f>
        <v>0</v>
      </c>
      <c r="AL85" s="137">
        <f>'бюджет округа (района)'!T85</f>
        <v>0</v>
      </c>
      <c r="AM85" s="137">
        <f t="shared" ref="AM85:AN86" si="525">AI85+AK85</f>
        <v>0</v>
      </c>
      <c r="AN85" s="137">
        <f t="shared" si="525"/>
        <v>0</v>
      </c>
      <c r="AO85" s="134">
        <f>'бюджет округа (района)'!V85+'бюджеты поселений'!V85</f>
        <v>0</v>
      </c>
      <c r="AP85" s="137">
        <f>'бюджет округа (района)'!V85</f>
        <v>0</v>
      </c>
      <c r="AQ85" s="137">
        <f t="shared" ref="AQ85:AR86" si="526">AM85+AO85</f>
        <v>0</v>
      </c>
      <c r="AR85" s="137">
        <f t="shared" si="526"/>
        <v>0</v>
      </c>
      <c r="AS85" s="134">
        <f>'бюджет округа (района)'!X85+'бюджеты поселений'!X85</f>
        <v>0</v>
      </c>
      <c r="AT85" s="137">
        <f>'бюджет округа (района)'!X85</f>
        <v>0</v>
      </c>
      <c r="AU85" s="137">
        <f t="shared" ref="AU85:AV86" si="527">AQ85+AS85</f>
        <v>0</v>
      </c>
      <c r="AV85" s="137">
        <f t="shared" si="527"/>
        <v>0</v>
      </c>
      <c r="AW85" s="134">
        <f>'бюджет округа (района)'!Z85+'бюджеты поселений'!Z85</f>
        <v>0</v>
      </c>
      <c r="AX85" s="137">
        <f>'бюджет округа (района)'!Z85</f>
        <v>0</v>
      </c>
      <c r="AY85" s="134">
        <f>'бюджет округа (района)'!AA85+'бюджеты поселений'!AA85</f>
        <v>0</v>
      </c>
      <c r="AZ85" s="137">
        <f>'бюджет округа (района)'!AA85</f>
        <v>0</v>
      </c>
      <c r="BA85" s="135">
        <f t="shared" si="431"/>
        <v>1</v>
      </c>
      <c r="BB85" s="135">
        <f t="shared" si="431"/>
        <v>1</v>
      </c>
      <c r="BC85" s="134">
        <f>'бюджет округа (района)'!AC85+'бюджеты поселений'!AC85</f>
        <v>0</v>
      </c>
      <c r="BD85" s="137">
        <f>'бюджет округа (района)'!AC85</f>
        <v>0</v>
      </c>
      <c r="BE85" s="134">
        <f>'бюджет округа (района)'!AD85+'бюджеты поселений'!AD85</f>
        <v>0</v>
      </c>
      <c r="BF85" s="137">
        <f>'бюджет округа (района)'!AD85</f>
        <v>0</v>
      </c>
      <c r="BG85" s="137">
        <f t="shared" ref="BG85:BH86" si="528">BC85+BE85</f>
        <v>0</v>
      </c>
      <c r="BH85" s="137">
        <f t="shared" si="528"/>
        <v>0</v>
      </c>
      <c r="BI85" s="135">
        <f t="shared" si="433"/>
        <v>1</v>
      </c>
      <c r="BJ85" s="135">
        <f t="shared" si="433"/>
        <v>1</v>
      </c>
      <c r="BK85" s="134">
        <f>'бюджет округа (района)'!AG85+'бюджеты поселений'!AG85</f>
        <v>0</v>
      </c>
      <c r="BL85" s="137">
        <f>'бюджет округа (района)'!AG85</f>
        <v>0</v>
      </c>
      <c r="BM85" s="137">
        <f t="shared" ref="BM85:BN86" si="529">BG85+BK85</f>
        <v>0</v>
      </c>
      <c r="BN85" s="137">
        <f t="shared" si="529"/>
        <v>0</v>
      </c>
      <c r="BO85" s="135">
        <f t="shared" si="435"/>
        <v>1</v>
      </c>
      <c r="BP85" s="135">
        <f t="shared" si="435"/>
        <v>1</v>
      </c>
      <c r="BQ85" s="134">
        <f>'бюджет округа (района)'!AJ85+'бюджеты поселений'!AJ85</f>
        <v>0</v>
      </c>
      <c r="BR85" s="137">
        <f>'бюджет округа (района)'!AJ85</f>
        <v>0</v>
      </c>
      <c r="BS85" s="137">
        <f t="shared" ref="BS85:BT86" si="530">BM85+BQ85</f>
        <v>0</v>
      </c>
      <c r="BT85" s="137">
        <f t="shared" si="530"/>
        <v>0</v>
      </c>
      <c r="BU85" s="135">
        <f t="shared" si="437"/>
        <v>1</v>
      </c>
      <c r="BV85" s="135">
        <f t="shared" si="437"/>
        <v>1</v>
      </c>
      <c r="BW85" s="134">
        <f>'бюджет округа (района)'!AM85+'бюджеты поселений'!AM85</f>
        <v>0</v>
      </c>
      <c r="BX85" s="137">
        <f>'бюджет округа (района)'!AM85</f>
        <v>0</v>
      </c>
      <c r="BY85" s="137">
        <f t="shared" ref="BY85:BZ86" si="531">BS85+BW85</f>
        <v>0</v>
      </c>
      <c r="BZ85" s="137">
        <f t="shared" si="531"/>
        <v>0</v>
      </c>
      <c r="CA85" s="135">
        <f t="shared" si="439"/>
        <v>1</v>
      </c>
      <c r="CB85" s="135">
        <f t="shared" si="439"/>
        <v>1</v>
      </c>
      <c r="CC85" s="134">
        <f>'бюджет округа (района)'!AP85+'бюджеты поселений'!AP85</f>
        <v>0</v>
      </c>
      <c r="CD85" s="137">
        <f>'бюджет округа (района)'!AP85</f>
        <v>0</v>
      </c>
      <c r="CE85" s="137">
        <f t="shared" ref="CE85:CF86" si="532">BY85+CC85</f>
        <v>0</v>
      </c>
      <c r="CF85" s="137">
        <f t="shared" si="532"/>
        <v>0</v>
      </c>
      <c r="CG85" s="135">
        <f t="shared" si="441"/>
        <v>1</v>
      </c>
      <c r="CH85" s="135">
        <f t="shared" si="441"/>
        <v>1</v>
      </c>
      <c r="CI85" s="134">
        <f>'бюджет округа (района)'!AS85+'бюджеты поселений'!AS85</f>
        <v>0</v>
      </c>
      <c r="CJ85" s="137">
        <f>'бюджет округа (района)'!AS85</f>
        <v>0</v>
      </c>
      <c r="CK85" s="137">
        <f t="shared" ref="CK85:CL86" si="533">CE85+CI85</f>
        <v>0</v>
      </c>
      <c r="CL85" s="137">
        <f t="shared" si="533"/>
        <v>0</v>
      </c>
      <c r="CM85" s="135">
        <f t="shared" si="443"/>
        <v>1</v>
      </c>
      <c r="CN85" s="135">
        <f t="shared" si="443"/>
        <v>1</v>
      </c>
      <c r="CO85" s="134">
        <f>'бюджет округа (района)'!AV85+'бюджеты поселений'!AV85</f>
        <v>0</v>
      </c>
      <c r="CP85" s="137">
        <f>'бюджет округа (района)'!AV85</f>
        <v>0</v>
      </c>
      <c r="CQ85" s="137">
        <f t="shared" ref="CQ85:CR86" si="534">CK85+CO85</f>
        <v>0</v>
      </c>
      <c r="CR85" s="137">
        <f t="shared" si="534"/>
        <v>0</v>
      </c>
      <c r="CS85" s="135">
        <f t="shared" si="445"/>
        <v>1</v>
      </c>
      <c r="CT85" s="135">
        <f t="shared" si="445"/>
        <v>1</v>
      </c>
      <c r="CU85" s="134">
        <f>'бюджет округа (района)'!AY85+'бюджеты поселений'!AY85</f>
        <v>0</v>
      </c>
      <c r="CV85" s="137">
        <f>'бюджет округа (района)'!AY85</f>
        <v>0</v>
      </c>
      <c r="CW85" s="137">
        <f t="shared" ref="CW85:CX86" si="535">CQ85+CU85</f>
        <v>0</v>
      </c>
      <c r="CX85" s="137">
        <f t="shared" si="535"/>
        <v>0</v>
      </c>
      <c r="CY85" s="135">
        <f t="shared" si="447"/>
        <v>1</v>
      </c>
      <c r="CZ85" s="135">
        <f t="shared" si="447"/>
        <v>1</v>
      </c>
      <c r="DA85" s="134">
        <f>'бюджет округа (района)'!BB85+'бюджеты поселений'!BB85</f>
        <v>0</v>
      </c>
      <c r="DB85" s="137">
        <f>'бюджет округа (района)'!BB85</f>
        <v>0</v>
      </c>
      <c r="DC85" s="137">
        <f t="shared" ref="DC85:DD86" si="536">CW85+DA85</f>
        <v>0</v>
      </c>
      <c r="DD85" s="137">
        <f t="shared" si="536"/>
        <v>0</v>
      </c>
      <c r="DE85" s="135">
        <f t="shared" si="449"/>
        <v>1</v>
      </c>
      <c r="DF85" s="135">
        <f t="shared" si="449"/>
        <v>1</v>
      </c>
      <c r="DG85" s="134">
        <f>'бюджет округа (района)'!BE85+'бюджеты поселений'!BE85</f>
        <v>0</v>
      </c>
      <c r="DH85" s="137">
        <f>'бюджет округа (района)'!BE85</f>
        <v>0</v>
      </c>
      <c r="DI85" s="137">
        <f t="shared" ref="DI85:DJ86" si="537">DC85+DG85</f>
        <v>0</v>
      </c>
      <c r="DJ85" s="137">
        <f t="shared" si="537"/>
        <v>0</v>
      </c>
      <c r="DK85" s="135">
        <f t="shared" si="451"/>
        <v>1</v>
      </c>
      <c r="DL85" s="135">
        <f t="shared" si="451"/>
        <v>1</v>
      </c>
      <c r="DM85" s="134">
        <f>'бюджет округа (района)'!BH85+'бюджеты поселений'!BH85</f>
        <v>0</v>
      </c>
      <c r="DN85" s="137">
        <f>'бюджет округа (района)'!BH85</f>
        <v>0</v>
      </c>
      <c r="DO85" s="134">
        <f>'бюджет округа (района)'!BI85+'бюджеты поселений'!BI85</f>
        <v>0</v>
      </c>
      <c r="DP85" s="137">
        <f>'бюджет округа (района)'!BI85</f>
        <v>0</v>
      </c>
      <c r="DQ85" s="134">
        <f>'бюджет округа (района)'!BJ85+'бюджеты поселений'!BJ85</f>
        <v>0</v>
      </c>
      <c r="DR85" s="137">
        <f>'бюджет округа (района)'!BJ85</f>
        <v>0</v>
      </c>
      <c r="DS85" s="135">
        <f>IF($AY$85=0,1,DQ85/$AY$85-1)</f>
        <v>1</v>
      </c>
      <c r="DT85" s="135">
        <f>IF($AZ$85=0,1,DR85/$AZ$85-1)</f>
        <v>1</v>
      </c>
      <c r="DU85" s="135">
        <f t="shared" si="453"/>
        <v>1</v>
      </c>
      <c r="DV85" s="135">
        <f t="shared" si="454"/>
        <v>1</v>
      </c>
      <c r="DW85" s="167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236" t="s">
        <v>148</v>
      </c>
      <c r="B86" s="237"/>
      <c r="C86" s="134">
        <f>'бюджет округа (района)'!C86+'бюджеты поселений'!C86</f>
        <v>0</v>
      </c>
      <c r="D86" s="137">
        <f>'бюджет округа (района)'!C86</f>
        <v>0</v>
      </c>
      <c r="E86" s="134">
        <f t="shared" si="517"/>
        <v>0</v>
      </c>
      <c r="F86" s="137">
        <f t="shared" si="517"/>
        <v>0</v>
      </c>
      <c r="G86" s="134">
        <f>'бюджет округа (района)'!E86+'бюджеты поселений'!E86</f>
        <v>0</v>
      </c>
      <c r="H86" s="137">
        <f>'бюджет округа (района)'!E86</f>
        <v>0</v>
      </c>
      <c r="I86" s="134">
        <f>'бюджет округа (района)'!F86+'бюджеты поселений'!F86</f>
        <v>0</v>
      </c>
      <c r="J86" s="137">
        <f>'бюджет округа (района)'!F86</f>
        <v>0</v>
      </c>
      <c r="K86" s="137">
        <f t="shared" si="518"/>
        <v>0</v>
      </c>
      <c r="L86" s="137">
        <f t="shared" si="518"/>
        <v>0</v>
      </c>
      <c r="M86" s="134">
        <f>'бюджет округа (района)'!H86+'бюджеты поселений'!H86</f>
        <v>0</v>
      </c>
      <c r="N86" s="137">
        <f>'бюджет округа (района)'!H86</f>
        <v>0</v>
      </c>
      <c r="O86" s="137">
        <f t="shared" si="519"/>
        <v>0</v>
      </c>
      <c r="P86" s="137">
        <f t="shared" si="519"/>
        <v>0</v>
      </c>
      <c r="Q86" s="134">
        <f>'бюджет округа (района)'!J86+'бюджеты поселений'!J86</f>
        <v>0</v>
      </c>
      <c r="R86" s="137">
        <f>'бюджет округа (района)'!J86</f>
        <v>0</v>
      </c>
      <c r="S86" s="137">
        <f t="shared" si="520"/>
        <v>0</v>
      </c>
      <c r="T86" s="137">
        <f t="shared" si="520"/>
        <v>0</v>
      </c>
      <c r="U86" s="134">
        <f>'бюджет округа (района)'!L86+'бюджеты поселений'!L86</f>
        <v>0</v>
      </c>
      <c r="V86" s="137">
        <f>'бюджет округа (района)'!L86</f>
        <v>0</v>
      </c>
      <c r="W86" s="137">
        <f t="shared" si="521"/>
        <v>0</v>
      </c>
      <c r="X86" s="137">
        <f t="shared" si="521"/>
        <v>0</v>
      </c>
      <c r="Y86" s="134">
        <f>'бюджет округа (района)'!N86+'бюджеты поселений'!N86</f>
        <v>0</v>
      </c>
      <c r="Z86" s="137">
        <f>'бюджет округа (района)'!N86</f>
        <v>0</v>
      </c>
      <c r="AA86" s="137">
        <f t="shared" si="522"/>
        <v>0</v>
      </c>
      <c r="AB86" s="137">
        <f t="shared" si="522"/>
        <v>0</v>
      </c>
      <c r="AC86" s="134">
        <f>'бюджет округа (района)'!P86+'бюджеты поселений'!P86</f>
        <v>0</v>
      </c>
      <c r="AD86" s="137">
        <f>'бюджет округа (района)'!P86</f>
        <v>0</v>
      </c>
      <c r="AE86" s="137">
        <f t="shared" si="523"/>
        <v>0</v>
      </c>
      <c r="AF86" s="137">
        <f t="shared" si="523"/>
        <v>0</v>
      </c>
      <c r="AG86" s="134">
        <f>'бюджет округа (района)'!R86+'бюджеты поселений'!R86</f>
        <v>0</v>
      </c>
      <c r="AH86" s="137">
        <f>'бюджет округа (района)'!R86</f>
        <v>0</v>
      </c>
      <c r="AI86" s="137">
        <f t="shared" si="524"/>
        <v>0</v>
      </c>
      <c r="AJ86" s="137">
        <f t="shared" si="524"/>
        <v>0</v>
      </c>
      <c r="AK86" s="134">
        <f>'бюджет округа (района)'!T86+'бюджеты поселений'!T86</f>
        <v>0</v>
      </c>
      <c r="AL86" s="137">
        <f>'бюджет округа (района)'!T86</f>
        <v>0</v>
      </c>
      <c r="AM86" s="137">
        <f t="shared" si="525"/>
        <v>0</v>
      </c>
      <c r="AN86" s="137">
        <f t="shared" si="525"/>
        <v>0</v>
      </c>
      <c r="AO86" s="134">
        <f>'бюджет округа (района)'!V86+'бюджеты поселений'!V86</f>
        <v>0</v>
      </c>
      <c r="AP86" s="137">
        <f>'бюджет округа (района)'!V86</f>
        <v>0</v>
      </c>
      <c r="AQ86" s="137">
        <f t="shared" si="526"/>
        <v>0</v>
      </c>
      <c r="AR86" s="137">
        <f t="shared" si="526"/>
        <v>0</v>
      </c>
      <c r="AS86" s="134">
        <f>'бюджет округа (района)'!X86+'бюджеты поселений'!X86</f>
        <v>0</v>
      </c>
      <c r="AT86" s="137">
        <f>'бюджет округа (района)'!X86</f>
        <v>0</v>
      </c>
      <c r="AU86" s="137">
        <f t="shared" si="527"/>
        <v>0</v>
      </c>
      <c r="AV86" s="137">
        <f t="shared" si="527"/>
        <v>0</v>
      </c>
      <c r="AW86" s="134">
        <f>'бюджет округа (района)'!Z86+'бюджеты поселений'!Z86</f>
        <v>0</v>
      </c>
      <c r="AX86" s="137">
        <f>'бюджет округа (района)'!Z86</f>
        <v>0</v>
      </c>
      <c r="AY86" s="134">
        <f>'бюджет округа (района)'!AA86+'бюджеты поселений'!AA86</f>
        <v>0</v>
      </c>
      <c r="AZ86" s="137">
        <f>'бюджет округа (района)'!AA86</f>
        <v>0</v>
      </c>
      <c r="BA86" s="135">
        <f t="shared" si="431"/>
        <v>1</v>
      </c>
      <c r="BB86" s="135">
        <f t="shared" si="431"/>
        <v>1</v>
      </c>
      <c r="BC86" s="134">
        <f>'бюджет округа (района)'!AC86+'бюджеты поселений'!AC86</f>
        <v>0</v>
      </c>
      <c r="BD86" s="137">
        <f>'бюджет округа (района)'!AC86</f>
        <v>0</v>
      </c>
      <c r="BE86" s="134">
        <f>'бюджет округа (района)'!AD86+'бюджеты поселений'!AD86</f>
        <v>0</v>
      </c>
      <c r="BF86" s="137">
        <f>'бюджет округа (района)'!AD86</f>
        <v>0</v>
      </c>
      <c r="BG86" s="137">
        <f t="shared" si="528"/>
        <v>0</v>
      </c>
      <c r="BH86" s="137">
        <f t="shared" si="528"/>
        <v>0</v>
      </c>
      <c r="BI86" s="135">
        <f t="shared" si="433"/>
        <v>1</v>
      </c>
      <c r="BJ86" s="135">
        <f t="shared" si="433"/>
        <v>1</v>
      </c>
      <c r="BK86" s="134">
        <f>'бюджет округа (района)'!AG86+'бюджеты поселений'!AG86</f>
        <v>0</v>
      </c>
      <c r="BL86" s="137">
        <f>'бюджет округа (района)'!AG86</f>
        <v>0</v>
      </c>
      <c r="BM86" s="137">
        <f t="shared" si="529"/>
        <v>0</v>
      </c>
      <c r="BN86" s="137">
        <f t="shared" si="529"/>
        <v>0</v>
      </c>
      <c r="BO86" s="135">
        <f t="shared" si="435"/>
        <v>1</v>
      </c>
      <c r="BP86" s="135">
        <f t="shared" si="435"/>
        <v>1</v>
      </c>
      <c r="BQ86" s="134">
        <f>'бюджет округа (района)'!AJ86+'бюджеты поселений'!AJ86</f>
        <v>0</v>
      </c>
      <c r="BR86" s="137">
        <f>'бюджет округа (района)'!AJ86</f>
        <v>0</v>
      </c>
      <c r="BS86" s="137">
        <f t="shared" si="530"/>
        <v>0</v>
      </c>
      <c r="BT86" s="137">
        <f t="shared" si="530"/>
        <v>0</v>
      </c>
      <c r="BU86" s="135">
        <f t="shared" si="437"/>
        <v>1</v>
      </c>
      <c r="BV86" s="135">
        <f t="shared" si="437"/>
        <v>1</v>
      </c>
      <c r="BW86" s="134">
        <f>'бюджет округа (района)'!AM86+'бюджеты поселений'!AM86</f>
        <v>0</v>
      </c>
      <c r="BX86" s="137">
        <f>'бюджет округа (района)'!AM86</f>
        <v>0</v>
      </c>
      <c r="BY86" s="137">
        <f t="shared" si="531"/>
        <v>0</v>
      </c>
      <c r="BZ86" s="137">
        <f t="shared" si="531"/>
        <v>0</v>
      </c>
      <c r="CA86" s="135">
        <f t="shared" si="439"/>
        <v>1</v>
      </c>
      <c r="CB86" s="135">
        <f t="shared" si="439"/>
        <v>1</v>
      </c>
      <c r="CC86" s="134">
        <f>'бюджет округа (района)'!AP86+'бюджеты поселений'!AP86</f>
        <v>0</v>
      </c>
      <c r="CD86" s="137">
        <f>'бюджет округа (района)'!AP86</f>
        <v>0</v>
      </c>
      <c r="CE86" s="137">
        <f t="shared" si="532"/>
        <v>0</v>
      </c>
      <c r="CF86" s="137">
        <f t="shared" si="532"/>
        <v>0</v>
      </c>
      <c r="CG86" s="135">
        <f t="shared" si="441"/>
        <v>1</v>
      </c>
      <c r="CH86" s="135">
        <f t="shared" si="441"/>
        <v>1</v>
      </c>
      <c r="CI86" s="134">
        <f>'бюджет округа (района)'!AS86+'бюджеты поселений'!AS86</f>
        <v>0</v>
      </c>
      <c r="CJ86" s="137">
        <f>'бюджет округа (района)'!AS86</f>
        <v>0</v>
      </c>
      <c r="CK86" s="137">
        <f t="shared" si="533"/>
        <v>0</v>
      </c>
      <c r="CL86" s="137">
        <f t="shared" si="533"/>
        <v>0</v>
      </c>
      <c r="CM86" s="135">
        <f t="shared" si="443"/>
        <v>1</v>
      </c>
      <c r="CN86" s="135">
        <f t="shared" si="443"/>
        <v>1</v>
      </c>
      <c r="CO86" s="134">
        <f>'бюджет округа (района)'!AV86+'бюджеты поселений'!AV86</f>
        <v>0</v>
      </c>
      <c r="CP86" s="137">
        <f>'бюджет округа (района)'!AV86</f>
        <v>0</v>
      </c>
      <c r="CQ86" s="137">
        <f t="shared" si="534"/>
        <v>0</v>
      </c>
      <c r="CR86" s="137">
        <f t="shared" si="534"/>
        <v>0</v>
      </c>
      <c r="CS86" s="135">
        <f t="shared" si="445"/>
        <v>1</v>
      </c>
      <c r="CT86" s="135">
        <f t="shared" si="445"/>
        <v>1</v>
      </c>
      <c r="CU86" s="134">
        <f>'бюджет округа (района)'!AY86+'бюджеты поселений'!AY86</f>
        <v>0</v>
      </c>
      <c r="CV86" s="137">
        <f>'бюджет округа (района)'!AY86</f>
        <v>0</v>
      </c>
      <c r="CW86" s="137">
        <f t="shared" si="535"/>
        <v>0</v>
      </c>
      <c r="CX86" s="137">
        <f t="shared" si="535"/>
        <v>0</v>
      </c>
      <c r="CY86" s="135">
        <f t="shared" si="447"/>
        <v>1</v>
      </c>
      <c r="CZ86" s="135">
        <f t="shared" si="447"/>
        <v>1</v>
      </c>
      <c r="DA86" s="134">
        <f>'бюджет округа (района)'!BB86+'бюджеты поселений'!BB86</f>
        <v>0</v>
      </c>
      <c r="DB86" s="137">
        <f>'бюджет округа (района)'!BB86</f>
        <v>0</v>
      </c>
      <c r="DC86" s="137">
        <f t="shared" si="536"/>
        <v>0</v>
      </c>
      <c r="DD86" s="137">
        <f t="shared" si="536"/>
        <v>0</v>
      </c>
      <c r="DE86" s="135">
        <f t="shared" si="449"/>
        <v>1</v>
      </c>
      <c r="DF86" s="135">
        <f t="shared" si="449"/>
        <v>1</v>
      </c>
      <c r="DG86" s="134">
        <f>'бюджет округа (района)'!BE86+'бюджеты поселений'!BE86</f>
        <v>0</v>
      </c>
      <c r="DH86" s="137">
        <f>'бюджет округа (района)'!BE86</f>
        <v>0</v>
      </c>
      <c r="DI86" s="137">
        <f t="shared" si="537"/>
        <v>0</v>
      </c>
      <c r="DJ86" s="137">
        <f t="shared" si="537"/>
        <v>0</v>
      </c>
      <c r="DK86" s="135">
        <f t="shared" si="451"/>
        <v>1</v>
      </c>
      <c r="DL86" s="135">
        <f t="shared" si="451"/>
        <v>1</v>
      </c>
      <c r="DM86" s="134">
        <f>'бюджет округа (района)'!BH86+'бюджеты поселений'!BH86</f>
        <v>0</v>
      </c>
      <c r="DN86" s="137">
        <f>'бюджет округа (района)'!BH86</f>
        <v>0</v>
      </c>
      <c r="DO86" s="134">
        <f>'бюджет округа (района)'!BI86+'бюджеты поселений'!BI86</f>
        <v>0</v>
      </c>
      <c r="DP86" s="137">
        <f>'бюджет округа (района)'!BI86</f>
        <v>0</v>
      </c>
      <c r="DQ86" s="134">
        <f>'бюджет округа (района)'!BJ86+'бюджеты поселений'!BJ86</f>
        <v>0</v>
      </c>
      <c r="DR86" s="137">
        <f>'бюджет округа (района)'!BJ86</f>
        <v>0</v>
      </c>
      <c r="DS86" s="135">
        <f>IF($AY$86=0,1,DQ86/$AY$86-1)</f>
        <v>1</v>
      </c>
      <c r="DT86" s="135">
        <f>IF($AZ$86=0,1,DR86/$AZ$86-1)</f>
        <v>1</v>
      </c>
      <c r="DU86" s="135">
        <f t="shared" si="453"/>
        <v>1</v>
      </c>
      <c r="DV86" s="135">
        <f t="shared" si="454"/>
        <v>1</v>
      </c>
      <c r="DW86" s="167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238" t="s">
        <v>61</v>
      </c>
      <c r="B87" s="239"/>
      <c r="C87" s="148">
        <f t="shared" ref="C87:AH87" si="538">(C86+C83+C80+C37)-(C9+C79+C82+C85)</f>
        <v>0</v>
      </c>
      <c r="D87" s="148">
        <f t="shared" si="538"/>
        <v>0</v>
      </c>
      <c r="E87" s="148">
        <f t="shared" si="538"/>
        <v>0</v>
      </c>
      <c r="F87" s="148">
        <f t="shared" si="538"/>
        <v>0</v>
      </c>
      <c r="G87" s="148">
        <f t="shared" si="538"/>
        <v>0</v>
      </c>
      <c r="H87" s="148">
        <f t="shared" si="538"/>
        <v>0</v>
      </c>
      <c r="I87" s="148">
        <f t="shared" si="538"/>
        <v>0</v>
      </c>
      <c r="J87" s="148">
        <f t="shared" si="538"/>
        <v>0</v>
      </c>
      <c r="K87" s="148">
        <f t="shared" si="538"/>
        <v>0</v>
      </c>
      <c r="L87" s="148">
        <f t="shared" si="538"/>
        <v>0</v>
      </c>
      <c r="M87" s="148">
        <f t="shared" si="538"/>
        <v>0</v>
      </c>
      <c r="N87" s="148">
        <f t="shared" si="538"/>
        <v>0</v>
      </c>
      <c r="O87" s="148">
        <f t="shared" si="538"/>
        <v>0</v>
      </c>
      <c r="P87" s="148">
        <f t="shared" si="538"/>
        <v>0</v>
      </c>
      <c r="Q87" s="148">
        <f t="shared" si="538"/>
        <v>0</v>
      </c>
      <c r="R87" s="148">
        <f t="shared" si="538"/>
        <v>0</v>
      </c>
      <c r="S87" s="148">
        <f t="shared" si="538"/>
        <v>0</v>
      </c>
      <c r="T87" s="148">
        <f t="shared" si="538"/>
        <v>0</v>
      </c>
      <c r="U87" s="148">
        <f t="shared" si="538"/>
        <v>0</v>
      </c>
      <c r="V87" s="148">
        <f t="shared" si="538"/>
        <v>0</v>
      </c>
      <c r="W87" s="148">
        <f t="shared" si="538"/>
        <v>0</v>
      </c>
      <c r="X87" s="148">
        <f t="shared" si="538"/>
        <v>0</v>
      </c>
      <c r="Y87" s="148">
        <f t="shared" si="538"/>
        <v>0</v>
      </c>
      <c r="Z87" s="148">
        <f t="shared" si="538"/>
        <v>0</v>
      </c>
      <c r="AA87" s="148">
        <f t="shared" si="538"/>
        <v>0</v>
      </c>
      <c r="AB87" s="148">
        <f t="shared" si="538"/>
        <v>0</v>
      </c>
      <c r="AC87" s="148">
        <f t="shared" si="538"/>
        <v>0</v>
      </c>
      <c r="AD87" s="148">
        <f t="shared" si="538"/>
        <v>0</v>
      </c>
      <c r="AE87" s="148">
        <f t="shared" si="538"/>
        <v>0</v>
      </c>
      <c r="AF87" s="148">
        <f t="shared" si="538"/>
        <v>0</v>
      </c>
      <c r="AG87" s="148">
        <f t="shared" si="538"/>
        <v>0</v>
      </c>
      <c r="AH87" s="148">
        <f t="shared" si="538"/>
        <v>0</v>
      </c>
      <c r="AI87" s="148">
        <f t="shared" ref="AI87:AZ87" si="539">(AI86+AI83+AI80+AI37)-(AI9+AI79+AI82+AI85)</f>
        <v>0</v>
      </c>
      <c r="AJ87" s="148">
        <f t="shared" si="539"/>
        <v>0</v>
      </c>
      <c r="AK87" s="148">
        <f t="shared" si="539"/>
        <v>0</v>
      </c>
      <c r="AL87" s="148">
        <f t="shared" si="539"/>
        <v>0</v>
      </c>
      <c r="AM87" s="148">
        <f t="shared" si="539"/>
        <v>0</v>
      </c>
      <c r="AN87" s="148">
        <f t="shared" si="539"/>
        <v>0</v>
      </c>
      <c r="AO87" s="148">
        <f t="shared" si="539"/>
        <v>0</v>
      </c>
      <c r="AP87" s="148">
        <f t="shared" si="539"/>
        <v>0</v>
      </c>
      <c r="AQ87" s="148">
        <f t="shared" si="539"/>
        <v>0</v>
      </c>
      <c r="AR87" s="148">
        <f t="shared" si="539"/>
        <v>0</v>
      </c>
      <c r="AS87" s="148">
        <f t="shared" si="539"/>
        <v>0</v>
      </c>
      <c r="AT87" s="148">
        <f t="shared" si="539"/>
        <v>0</v>
      </c>
      <c r="AU87" s="148">
        <f t="shared" si="539"/>
        <v>0</v>
      </c>
      <c r="AV87" s="148">
        <f t="shared" si="539"/>
        <v>0</v>
      </c>
      <c r="AW87" s="148">
        <f t="shared" si="539"/>
        <v>0</v>
      </c>
      <c r="AX87" s="148">
        <f t="shared" si="539"/>
        <v>0</v>
      </c>
      <c r="AY87" s="148">
        <f t="shared" si="539"/>
        <v>0</v>
      </c>
      <c r="AZ87" s="148">
        <f t="shared" si="539"/>
        <v>0</v>
      </c>
      <c r="BA87" s="133">
        <f t="shared" si="431"/>
        <v>1</v>
      </c>
      <c r="BB87" s="133">
        <f t="shared" si="431"/>
        <v>1</v>
      </c>
      <c r="BC87" s="148">
        <f t="shared" ref="BC87:BH87" si="540">(BC86+BC83+BC80+BC37)-(BC9+BC79+BC82+BC85)</f>
        <v>0</v>
      </c>
      <c r="BD87" s="148">
        <f t="shared" si="540"/>
        <v>0</v>
      </c>
      <c r="BE87" s="148">
        <f t="shared" si="540"/>
        <v>0</v>
      </c>
      <c r="BF87" s="148">
        <f t="shared" si="540"/>
        <v>0</v>
      </c>
      <c r="BG87" s="148">
        <f t="shared" si="540"/>
        <v>0</v>
      </c>
      <c r="BH87" s="148">
        <f t="shared" si="540"/>
        <v>0</v>
      </c>
      <c r="BI87" s="133">
        <f t="shared" si="433"/>
        <v>1</v>
      </c>
      <c r="BJ87" s="133">
        <f t="shared" si="433"/>
        <v>1</v>
      </c>
      <c r="BK87" s="148">
        <f>(BK86+BK83+BK80+BK37)-(BK9+BK79+BK82+BK85)</f>
        <v>0</v>
      </c>
      <c r="BL87" s="148">
        <f>(BL86+BL83+BL80+BL37)-(BL9+BL79+BL82+BL85)</f>
        <v>0</v>
      </c>
      <c r="BM87" s="148">
        <f>(BM86+BM83+BM80+BM37)-(BM9+BM79+BM82+BM85)</f>
        <v>0</v>
      </c>
      <c r="BN87" s="148">
        <f>(BN86+BN83+BN80+BN37)-(BN9+BN79+BN82+BN85)</f>
        <v>0</v>
      </c>
      <c r="BO87" s="133">
        <f t="shared" si="435"/>
        <v>1</v>
      </c>
      <c r="BP87" s="133">
        <f t="shared" si="435"/>
        <v>1</v>
      </c>
      <c r="BQ87" s="148">
        <f>(BQ86+BQ83+BQ80+BQ37)-(BQ9+BQ79+BQ82+BQ85)</f>
        <v>0</v>
      </c>
      <c r="BR87" s="148">
        <f>(BR86+BR83+BR80+BR37)-(BR9+BR79+BR82+BR85)</f>
        <v>0</v>
      </c>
      <c r="BS87" s="148">
        <f>(BS86+BS83+BS80+BS37)-(BS9+BS79+BS82+BS85)</f>
        <v>0</v>
      </c>
      <c r="BT87" s="148">
        <f>(BT86+BT83+BT80+BT37)-(BT9+BT79+BT82+BT85)</f>
        <v>0</v>
      </c>
      <c r="BU87" s="133">
        <f t="shared" si="437"/>
        <v>1</v>
      </c>
      <c r="BV87" s="133">
        <f t="shared" si="437"/>
        <v>1</v>
      </c>
      <c r="BW87" s="148">
        <f>(BW86+BW83+BW80+BW37)-(BW9+BW79+BW82+BW85)</f>
        <v>0</v>
      </c>
      <c r="BX87" s="148">
        <f>(BX86+BX83+BX80+BX37)-(BX9+BX79+BX82+BX85)</f>
        <v>0</v>
      </c>
      <c r="BY87" s="148">
        <f>(BY86+BY83+BY80+BY37)-(BY9+BY79+BY82+BY85)</f>
        <v>0</v>
      </c>
      <c r="BZ87" s="148">
        <f>(BZ86+BZ83+BZ80+BZ37)-(BZ9+BZ79+BZ82+BZ85)</f>
        <v>0</v>
      </c>
      <c r="CA87" s="133">
        <f t="shared" si="439"/>
        <v>1</v>
      </c>
      <c r="CB87" s="133">
        <f t="shared" si="439"/>
        <v>1</v>
      </c>
      <c r="CC87" s="148">
        <f>(CC86+CC83+CC80+CC37)-(CC9+CC79+CC82+CC85)</f>
        <v>0</v>
      </c>
      <c r="CD87" s="148">
        <f>(CD86+CD83+CD80+CD37)-(CD9+CD79+CD82+CD85)</f>
        <v>0</v>
      </c>
      <c r="CE87" s="148">
        <f>(CE86+CE83+CE80+CE37)-(CE9+CE79+CE82+CE85)</f>
        <v>0</v>
      </c>
      <c r="CF87" s="148">
        <f>(CF86+CF83+CF80+CF37)-(CF9+CF79+CF82+CF85)</f>
        <v>0</v>
      </c>
      <c r="CG87" s="133">
        <f t="shared" si="441"/>
        <v>1</v>
      </c>
      <c r="CH87" s="133">
        <f t="shared" si="441"/>
        <v>1</v>
      </c>
      <c r="CI87" s="148">
        <f>(CI86+CI83+CI80+CI37)-(CI9+CI79+CI82+CI85)</f>
        <v>0</v>
      </c>
      <c r="CJ87" s="148">
        <f>(CJ86+CJ83+CJ80+CJ37)-(CJ9+CJ79+CJ82+CJ85)</f>
        <v>0</v>
      </c>
      <c r="CK87" s="148">
        <f>(CK86+CK83+CK80+CK37)-(CK9+CK79+CK82+CK85)</f>
        <v>0</v>
      </c>
      <c r="CL87" s="148">
        <f>(CL86+CL83+CL80+CL37)-(CL9+CL79+CL82+CL85)</f>
        <v>0</v>
      </c>
      <c r="CM87" s="133">
        <f t="shared" si="443"/>
        <v>1</v>
      </c>
      <c r="CN87" s="133">
        <f t="shared" si="443"/>
        <v>1</v>
      </c>
      <c r="CO87" s="148">
        <f>(CO86+CO83+CO80+CO37)-(CO9+CO79+CO82+CO85)</f>
        <v>0</v>
      </c>
      <c r="CP87" s="148">
        <f>(CP86+CP83+CP80+CP37)-(CP9+CP79+CP82+CP85)</f>
        <v>0</v>
      </c>
      <c r="CQ87" s="148">
        <f>(CQ86+CQ83+CQ80+CQ37)-(CQ9+CQ79+CQ82+CQ85)</f>
        <v>0</v>
      </c>
      <c r="CR87" s="148">
        <f>(CR86+CR83+CR80+CR37)-(CR9+CR79+CR82+CR85)</f>
        <v>0</v>
      </c>
      <c r="CS87" s="133">
        <f t="shared" si="445"/>
        <v>1</v>
      </c>
      <c r="CT87" s="133">
        <f t="shared" si="445"/>
        <v>1</v>
      </c>
      <c r="CU87" s="148">
        <f>(CU86+CU83+CU80+CU37)-(CU9+CU79+CU82+CU85)</f>
        <v>0</v>
      </c>
      <c r="CV87" s="148">
        <f>(CV86+CV83+CV80+CV37)-(CV9+CV79+CV82+CV85)</f>
        <v>0</v>
      </c>
      <c r="CW87" s="148">
        <f>(CW86+CW83+CW80+CW37)-(CW9+CW79+CW82+CW85)</f>
        <v>0</v>
      </c>
      <c r="CX87" s="148">
        <f>(CX86+CX83+CX80+CX37)-(CX9+CX79+CX82+CX85)</f>
        <v>0</v>
      </c>
      <c r="CY87" s="133">
        <f t="shared" si="447"/>
        <v>1</v>
      </c>
      <c r="CZ87" s="133">
        <f t="shared" si="447"/>
        <v>1</v>
      </c>
      <c r="DA87" s="148">
        <f>(DA86+DA83+DA80+DA37)-(DA9+DA79+DA82+DA85)</f>
        <v>0</v>
      </c>
      <c r="DB87" s="148">
        <f>(DB86+DB83+DB80+DB37)-(DB9+DB79+DB82+DB85)</f>
        <v>0</v>
      </c>
      <c r="DC87" s="148">
        <f>(DC86+DC83+DC80+DC37)-(DC9+DC79+DC82+DC85)</f>
        <v>0</v>
      </c>
      <c r="DD87" s="148">
        <f>(DD86+DD83+DD80+DD37)-(DD9+DD79+DD82+DD85)</f>
        <v>0</v>
      </c>
      <c r="DE87" s="133">
        <f t="shared" si="449"/>
        <v>1</v>
      </c>
      <c r="DF87" s="133">
        <f t="shared" si="449"/>
        <v>1</v>
      </c>
      <c r="DG87" s="148">
        <f>(DG86+DG83+DG80+DG37)-(DG9+DG79+DG82+DG85)</f>
        <v>0</v>
      </c>
      <c r="DH87" s="148">
        <f>(DH86+DH83+DH80+DH37)-(DH9+DH79+DH82+DH85)</f>
        <v>0</v>
      </c>
      <c r="DI87" s="148">
        <f>(DI86+DI83+DI80+DI37)-(DI9+DI79+DI82+DI85)</f>
        <v>0</v>
      </c>
      <c r="DJ87" s="148">
        <f>(DJ86+DJ83+DJ80+DJ37)-(DJ9+DJ79+DJ82+DJ85)</f>
        <v>0</v>
      </c>
      <c r="DK87" s="133">
        <f t="shared" si="451"/>
        <v>1</v>
      </c>
      <c r="DL87" s="133">
        <f t="shared" si="451"/>
        <v>1</v>
      </c>
      <c r="DM87" s="148">
        <f t="shared" ref="DM87:DR87" si="541">(DM86+DM83+DM80+DM37)-(DM9+DM79+DM82+DM85)</f>
        <v>0</v>
      </c>
      <c r="DN87" s="148">
        <f t="shared" si="541"/>
        <v>0</v>
      </c>
      <c r="DO87" s="148">
        <f t="shared" si="541"/>
        <v>0</v>
      </c>
      <c r="DP87" s="148">
        <f t="shared" si="541"/>
        <v>0</v>
      </c>
      <c r="DQ87" s="148">
        <f t="shared" si="541"/>
        <v>0</v>
      </c>
      <c r="DR87" s="148">
        <f t="shared" si="541"/>
        <v>0</v>
      </c>
      <c r="DS87" s="133">
        <f>IF($AY$87=0,1,DQ87/$AY$87-1)</f>
        <v>1</v>
      </c>
      <c r="DT87" s="133">
        <f>IF($AZ$87=0,1,DR87/$AZ$87-1)</f>
        <v>1</v>
      </c>
      <c r="DU87" s="133">
        <f t="shared" si="453"/>
        <v>1</v>
      </c>
      <c r="DV87" s="133">
        <f t="shared" si="454"/>
        <v>1</v>
      </c>
      <c r="DW87" s="169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51" customHeight="1">
      <c r="A88" s="240" t="s">
        <v>62</v>
      </c>
      <c r="B88" s="241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 t="s">
        <v>51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 t="s">
        <v>51</v>
      </c>
      <c r="BJ88" s="130" t="s">
        <v>51</v>
      </c>
      <c r="BK88" s="130" t="s">
        <v>51</v>
      </c>
      <c r="BL88" s="130" t="s">
        <v>51</v>
      </c>
      <c r="BM88" s="130" t="s">
        <v>51</v>
      </c>
      <c r="BN88" s="130" t="s">
        <v>51</v>
      </c>
      <c r="BO88" s="130" t="s">
        <v>51</v>
      </c>
      <c r="BP88" s="130" t="s">
        <v>51</v>
      </c>
      <c r="BQ88" s="130" t="s">
        <v>51</v>
      </c>
      <c r="BR88" s="130" t="s">
        <v>51</v>
      </c>
      <c r="BS88" s="130" t="s">
        <v>51</v>
      </c>
      <c r="BT88" s="130" t="s">
        <v>51</v>
      </c>
      <c r="BU88" s="130" t="s">
        <v>51</v>
      </c>
      <c r="BV88" s="130" t="s">
        <v>51</v>
      </c>
      <c r="BW88" s="130" t="s">
        <v>51</v>
      </c>
      <c r="BX88" s="130" t="s">
        <v>51</v>
      </c>
      <c r="BY88" s="130" t="s">
        <v>51</v>
      </c>
      <c r="BZ88" s="130" t="s">
        <v>51</v>
      </c>
      <c r="CA88" s="130" t="s">
        <v>51</v>
      </c>
      <c r="CB88" s="130" t="s">
        <v>51</v>
      </c>
      <c r="CC88" s="130" t="s">
        <v>51</v>
      </c>
      <c r="CD88" s="130" t="s">
        <v>51</v>
      </c>
      <c r="CE88" s="130" t="s">
        <v>51</v>
      </c>
      <c r="CF88" s="130" t="s">
        <v>51</v>
      </c>
      <c r="CG88" s="130" t="s">
        <v>51</v>
      </c>
      <c r="CH88" s="130" t="s">
        <v>51</v>
      </c>
      <c r="CI88" s="130" t="s">
        <v>51</v>
      </c>
      <c r="CJ88" s="130" t="s">
        <v>51</v>
      </c>
      <c r="CK88" s="130" t="s">
        <v>51</v>
      </c>
      <c r="CL88" s="130" t="s">
        <v>51</v>
      </c>
      <c r="CM88" s="130" t="s">
        <v>51</v>
      </c>
      <c r="CN88" s="130" t="s">
        <v>51</v>
      </c>
      <c r="CO88" s="130" t="s">
        <v>51</v>
      </c>
      <c r="CP88" s="130" t="s">
        <v>51</v>
      </c>
      <c r="CQ88" s="130" t="s">
        <v>51</v>
      </c>
      <c r="CR88" s="130" t="s">
        <v>51</v>
      </c>
      <c r="CS88" s="130" t="s">
        <v>51</v>
      </c>
      <c r="CT88" s="130" t="s">
        <v>51</v>
      </c>
      <c r="CU88" s="130" t="s">
        <v>51</v>
      </c>
      <c r="CV88" s="130" t="s">
        <v>51</v>
      </c>
      <c r="CW88" s="130" t="s">
        <v>51</v>
      </c>
      <c r="CX88" s="130" t="s">
        <v>51</v>
      </c>
      <c r="CY88" s="130" t="s">
        <v>51</v>
      </c>
      <c r="CZ88" s="130" t="s">
        <v>51</v>
      </c>
      <c r="DA88" s="130" t="s">
        <v>51</v>
      </c>
      <c r="DB88" s="130" t="s">
        <v>51</v>
      </c>
      <c r="DC88" s="130" t="s">
        <v>51</v>
      </c>
      <c r="DD88" s="130" t="s">
        <v>51</v>
      </c>
      <c r="DE88" s="130" t="s">
        <v>51</v>
      </c>
      <c r="DF88" s="130" t="s">
        <v>51</v>
      </c>
      <c r="DG88" s="130" t="s">
        <v>51</v>
      </c>
      <c r="DH88" s="130" t="s">
        <v>51</v>
      </c>
      <c r="DI88" s="130" t="s">
        <v>51</v>
      </c>
      <c r="DJ88" s="130" t="s">
        <v>51</v>
      </c>
      <c r="DK88" s="130" t="s">
        <v>51</v>
      </c>
      <c r="DL88" s="130" t="s">
        <v>51</v>
      </c>
      <c r="DM88" s="130" t="s">
        <v>51</v>
      </c>
      <c r="DN88" s="130" t="s">
        <v>51</v>
      </c>
      <c r="DO88" s="130" t="s">
        <v>51</v>
      </c>
      <c r="DP88" s="130" t="s">
        <v>51</v>
      </c>
      <c r="DQ88" s="130" t="s">
        <v>51</v>
      </c>
      <c r="DR88" s="130" t="s">
        <v>51</v>
      </c>
      <c r="DS88" s="130" t="s">
        <v>51</v>
      </c>
      <c r="DT88" s="130" t="s">
        <v>51</v>
      </c>
      <c r="DU88" s="130" t="s">
        <v>51</v>
      </c>
      <c r="DV88" s="130" t="s">
        <v>51</v>
      </c>
      <c r="DW88" s="168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242" t="s">
        <v>63</v>
      </c>
      <c r="B89" s="243"/>
      <c r="C89" s="151"/>
      <c r="D89" s="151"/>
      <c r="E89" s="151"/>
      <c r="F89" s="151"/>
      <c r="G89" s="151"/>
      <c r="H89" s="151"/>
      <c r="I89" s="151"/>
      <c r="J89" s="151"/>
      <c r="K89" s="152"/>
      <c r="L89" s="152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48"/>
      <c r="BC89" s="151"/>
      <c r="BD89" s="151"/>
      <c r="BE89" s="151"/>
      <c r="BF89" s="151"/>
      <c r="BG89" s="152"/>
      <c r="BH89" s="15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69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19.5" customHeight="1">
      <c r="A90" s="217" t="s">
        <v>136</v>
      </c>
      <c r="B90" s="218"/>
      <c r="C90" s="156"/>
      <c r="D90" s="156"/>
      <c r="E90" s="156"/>
      <c r="F90" s="156"/>
      <c r="G90" s="156"/>
      <c r="H90" s="156"/>
      <c r="I90" s="156"/>
      <c r="J90" s="156"/>
      <c r="K90" s="155"/>
      <c r="L90" s="155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30"/>
      <c r="BC90" s="156"/>
      <c r="BD90" s="156"/>
      <c r="BE90" s="156"/>
      <c r="BF90" s="156"/>
      <c r="BG90" s="155"/>
      <c r="BH90" s="155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68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234" t="s">
        <v>64</v>
      </c>
      <c r="B91" s="235"/>
      <c r="C91" s="137">
        <f t="shared" ref="C91:J91" si="542">C92+C93+C94</f>
        <v>0</v>
      </c>
      <c r="D91" s="137">
        <f t="shared" si="542"/>
        <v>0</v>
      </c>
      <c r="E91" s="137">
        <f t="shared" si="542"/>
        <v>0</v>
      </c>
      <c r="F91" s="137">
        <f t="shared" si="542"/>
        <v>0</v>
      </c>
      <c r="G91" s="137">
        <f t="shared" si="542"/>
        <v>0</v>
      </c>
      <c r="H91" s="137">
        <f t="shared" si="542"/>
        <v>0</v>
      </c>
      <c r="I91" s="137">
        <f t="shared" si="542"/>
        <v>0</v>
      </c>
      <c r="J91" s="137">
        <f t="shared" si="542"/>
        <v>0</v>
      </c>
      <c r="K91" s="137">
        <f t="shared" ref="K91:AV91" si="543">K92+K93+K94</f>
        <v>0</v>
      </c>
      <c r="L91" s="137">
        <f t="shared" si="543"/>
        <v>0</v>
      </c>
      <c r="M91" s="137">
        <f>M92+M93+M94</f>
        <v>0</v>
      </c>
      <c r="N91" s="137">
        <f>N92+N93+N94</f>
        <v>0</v>
      </c>
      <c r="O91" s="137">
        <f t="shared" si="543"/>
        <v>0</v>
      </c>
      <c r="P91" s="137">
        <f t="shared" si="543"/>
        <v>0</v>
      </c>
      <c r="Q91" s="137">
        <f>Q92+Q93+Q94</f>
        <v>0</v>
      </c>
      <c r="R91" s="137">
        <f>R92+R93+R94</f>
        <v>0</v>
      </c>
      <c r="S91" s="137">
        <f t="shared" si="543"/>
        <v>0</v>
      </c>
      <c r="T91" s="137">
        <f t="shared" si="543"/>
        <v>0</v>
      </c>
      <c r="U91" s="137">
        <f>U92+U93+U94</f>
        <v>0</v>
      </c>
      <c r="V91" s="137">
        <f>V92+V93+V94</f>
        <v>0</v>
      </c>
      <c r="W91" s="137">
        <f t="shared" si="543"/>
        <v>0</v>
      </c>
      <c r="X91" s="137">
        <f t="shared" si="543"/>
        <v>0</v>
      </c>
      <c r="Y91" s="137">
        <f>Y92+Y93+Y94</f>
        <v>0</v>
      </c>
      <c r="Z91" s="137">
        <f>Z92+Z93+Z94</f>
        <v>0</v>
      </c>
      <c r="AA91" s="137">
        <f t="shared" si="543"/>
        <v>0</v>
      </c>
      <c r="AB91" s="137">
        <f t="shared" si="543"/>
        <v>0</v>
      </c>
      <c r="AC91" s="137">
        <f>AC92+AC93+AC94</f>
        <v>0</v>
      </c>
      <c r="AD91" s="137">
        <f>AD92+AD93+AD94</f>
        <v>0</v>
      </c>
      <c r="AE91" s="137">
        <f t="shared" si="543"/>
        <v>0</v>
      </c>
      <c r="AF91" s="137">
        <f t="shared" si="543"/>
        <v>0</v>
      </c>
      <c r="AG91" s="137">
        <f>AG92+AG93+AG94</f>
        <v>0</v>
      </c>
      <c r="AH91" s="137">
        <f>AH92+AH93+AH94</f>
        <v>0</v>
      </c>
      <c r="AI91" s="137">
        <f t="shared" si="543"/>
        <v>0</v>
      </c>
      <c r="AJ91" s="137">
        <f t="shared" si="543"/>
        <v>0</v>
      </c>
      <c r="AK91" s="137">
        <f>AK92+AK93+AK94</f>
        <v>0</v>
      </c>
      <c r="AL91" s="137">
        <f>AL92+AL93+AL94</f>
        <v>0</v>
      </c>
      <c r="AM91" s="137">
        <f t="shared" si="543"/>
        <v>0</v>
      </c>
      <c r="AN91" s="137">
        <f t="shared" si="543"/>
        <v>0</v>
      </c>
      <c r="AO91" s="137">
        <f>AO92+AO93+AO94</f>
        <v>0</v>
      </c>
      <c r="AP91" s="137">
        <f>AP92+AP93+AP94</f>
        <v>0</v>
      </c>
      <c r="AQ91" s="137">
        <f t="shared" si="543"/>
        <v>0</v>
      </c>
      <c r="AR91" s="137">
        <f t="shared" si="543"/>
        <v>0</v>
      </c>
      <c r="AS91" s="137">
        <f>AS92+AS93+AS94</f>
        <v>0</v>
      </c>
      <c r="AT91" s="137">
        <f>AT92+AT93+AT94</f>
        <v>0</v>
      </c>
      <c r="AU91" s="137">
        <f t="shared" si="543"/>
        <v>0</v>
      </c>
      <c r="AV91" s="137">
        <f t="shared" si="543"/>
        <v>0</v>
      </c>
      <c r="AW91" s="137">
        <f>AW92+AW93+AW94</f>
        <v>0</v>
      </c>
      <c r="AX91" s="137">
        <f>AX92+AX93+AX94</f>
        <v>0</v>
      </c>
      <c r="AY91" s="137">
        <f>AY92+AY93+AY94</f>
        <v>0</v>
      </c>
      <c r="AZ91" s="137">
        <f>AZ92+AZ93+AZ94</f>
        <v>0</v>
      </c>
      <c r="BA91" s="135">
        <f t="shared" ref="BA91:BB92" si="544">IF(E91=0,1,AY91/E91-1)</f>
        <v>1</v>
      </c>
      <c r="BB91" s="135">
        <f t="shared" si="544"/>
        <v>1</v>
      </c>
      <c r="BC91" s="137">
        <f t="shared" ref="BC91:BH91" si="545">BC92+BC93+BC94</f>
        <v>0</v>
      </c>
      <c r="BD91" s="137">
        <f t="shared" si="545"/>
        <v>0</v>
      </c>
      <c r="BE91" s="137">
        <f t="shared" si="545"/>
        <v>0</v>
      </c>
      <c r="BF91" s="137">
        <f t="shared" si="545"/>
        <v>0</v>
      </c>
      <c r="BG91" s="137">
        <f t="shared" si="545"/>
        <v>0</v>
      </c>
      <c r="BH91" s="137">
        <f t="shared" si="545"/>
        <v>0</v>
      </c>
      <c r="BI91" s="135">
        <f t="shared" ref="BI91:BJ112" si="546">IF(K91=0,1,BG91/K91-1)</f>
        <v>1</v>
      </c>
      <c r="BJ91" s="135">
        <f t="shared" si="546"/>
        <v>1</v>
      </c>
      <c r="BK91" s="137">
        <f>BK92+BK93+BK94</f>
        <v>0</v>
      </c>
      <c r="BL91" s="137">
        <f>BL92+BL93+BL94</f>
        <v>0</v>
      </c>
      <c r="BM91" s="137">
        <f>BM92+BM93+BM94</f>
        <v>0</v>
      </c>
      <c r="BN91" s="137">
        <f>BN92+BN93+BN94</f>
        <v>0</v>
      </c>
      <c r="BO91" s="135">
        <f t="shared" ref="BO91:BP112" si="547">IF(O91=0,1,BM91/O91-1)</f>
        <v>1</v>
      </c>
      <c r="BP91" s="135">
        <f t="shared" si="547"/>
        <v>1</v>
      </c>
      <c r="BQ91" s="137">
        <f>BQ92+BQ93+BQ94</f>
        <v>0</v>
      </c>
      <c r="BR91" s="137">
        <f>BR92+BR93+BR94</f>
        <v>0</v>
      </c>
      <c r="BS91" s="137">
        <f>BS92+BS93+BS94</f>
        <v>0</v>
      </c>
      <c r="BT91" s="137">
        <f>BT92+BT93+BT94</f>
        <v>0</v>
      </c>
      <c r="BU91" s="135">
        <f t="shared" ref="BU91:BV112" si="548">IF(S91=0,1,BS91/S91-1)</f>
        <v>1</v>
      </c>
      <c r="BV91" s="135">
        <f t="shared" si="548"/>
        <v>1</v>
      </c>
      <c r="BW91" s="137">
        <f>BW92+BW93+BW94</f>
        <v>0</v>
      </c>
      <c r="BX91" s="137">
        <f>BX92+BX93+BX94</f>
        <v>0</v>
      </c>
      <c r="BY91" s="137">
        <f>BY92+BY93+BY94</f>
        <v>0</v>
      </c>
      <c r="BZ91" s="137">
        <f>BZ92+BZ93+BZ94</f>
        <v>0</v>
      </c>
      <c r="CA91" s="135">
        <f t="shared" ref="CA91:CB112" si="549">IF(W91=0,1,BY91/W91-1)</f>
        <v>1</v>
      </c>
      <c r="CB91" s="135">
        <f t="shared" si="549"/>
        <v>1</v>
      </c>
      <c r="CC91" s="137">
        <f>CC92+CC93+CC94</f>
        <v>0</v>
      </c>
      <c r="CD91" s="137">
        <f>CD92+CD93+CD94</f>
        <v>0</v>
      </c>
      <c r="CE91" s="137">
        <f>CE92+CE93+CE94</f>
        <v>0</v>
      </c>
      <c r="CF91" s="137">
        <f>CF92+CF93+CF94</f>
        <v>0</v>
      </c>
      <c r="CG91" s="135">
        <f t="shared" ref="CG91:CH112" si="550">IF(AA91=0,1,CE91/AA91-1)</f>
        <v>1</v>
      </c>
      <c r="CH91" s="135">
        <f t="shared" si="550"/>
        <v>1</v>
      </c>
      <c r="CI91" s="137">
        <f>CI92+CI93+CI94</f>
        <v>0</v>
      </c>
      <c r="CJ91" s="137">
        <f>CJ92+CJ93+CJ94</f>
        <v>0</v>
      </c>
      <c r="CK91" s="137">
        <f>CK92+CK93+CK94</f>
        <v>0</v>
      </c>
      <c r="CL91" s="137">
        <f>CL92+CL93+CL94</f>
        <v>0</v>
      </c>
      <c r="CM91" s="135">
        <f t="shared" ref="CM91:CN112" si="551">IF(AE91=0,1,CK91/AE91-1)</f>
        <v>1</v>
      </c>
      <c r="CN91" s="135">
        <f t="shared" si="551"/>
        <v>1</v>
      </c>
      <c r="CO91" s="137">
        <f>CO92+CO93+CO94</f>
        <v>0</v>
      </c>
      <c r="CP91" s="137">
        <f>CP92+CP93+CP94</f>
        <v>0</v>
      </c>
      <c r="CQ91" s="137">
        <f>CQ92+CQ93+CQ94</f>
        <v>0</v>
      </c>
      <c r="CR91" s="137">
        <f>CR92+CR93+CR94</f>
        <v>0</v>
      </c>
      <c r="CS91" s="135">
        <f t="shared" ref="CS91:CT112" si="552">IF(AI91=0,1,CQ91/AI91-1)</f>
        <v>1</v>
      </c>
      <c r="CT91" s="135">
        <f t="shared" si="552"/>
        <v>1</v>
      </c>
      <c r="CU91" s="137">
        <f>CU92+CU93+CU94</f>
        <v>0</v>
      </c>
      <c r="CV91" s="137">
        <f>CV92+CV93+CV94</f>
        <v>0</v>
      </c>
      <c r="CW91" s="137">
        <f>CW92+CW93+CW94</f>
        <v>0</v>
      </c>
      <c r="CX91" s="137">
        <f>CX92+CX93+CX94</f>
        <v>0</v>
      </c>
      <c r="CY91" s="135">
        <f t="shared" ref="CY91:CZ112" si="553">IF(AM91=0,1,CW91/AM91-1)</f>
        <v>1</v>
      </c>
      <c r="CZ91" s="135">
        <f t="shared" si="553"/>
        <v>1</v>
      </c>
      <c r="DA91" s="137">
        <f>DA92+DA93+DA94</f>
        <v>0</v>
      </c>
      <c r="DB91" s="137">
        <f>DB92+DB93+DB94</f>
        <v>0</v>
      </c>
      <c r="DC91" s="137">
        <f>DC92+DC93+DC94</f>
        <v>0</v>
      </c>
      <c r="DD91" s="137">
        <f>DD92+DD93+DD94</f>
        <v>0</v>
      </c>
      <c r="DE91" s="135">
        <f t="shared" ref="DE91:DF112" si="554">IF(AQ91=0,1,DC91/AQ91-1)</f>
        <v>1</v>
      </c>
      <c r="DF91" s="135">
        <f t="shared" si="554"/>
        <v>1</v>
      </c>
      <c r="DG91" s="137">
        <f>DG92+DG93+DG94</f>
        <v>0</v>
      </c>
      <c r="DH91" s="137">
        <f>DH92+DH93+DH94</f>
        <v>0</v>
      </c>
      <c r="DI91" s="137">
        <f>DI92+DI93+DI94</f>
        <v>0</v>
      </c>
      <c r="DJ91" s="137">
        <f>DJ92+DJ93+DJ94</f>
        <v>0</v>
      </c>
      <c r="DK91" s="135">
        <f t="shared" ref="DK91:DL112" si="555">IF(AU91=0,1,DI91/AU91-1)</f>
        <v>1</v>
      </c>
      <c r="DL91" s="135">
        <f t="shared" si="555"/>
        <v>1</v>
      </c>
      <c r="DM91" s="137">
        <f t="shared" ref="DM91:DR91" si="556">DM92+DM93+DM94</f>
        <v>0</v>
      </c>
      <c r="DN91" s="137">
        <f t="shared" si="556"/>
        <v>0</v>
      </c>
      <c r="DO91" s="137">
        <f t="shared" si="556"/>
        <v>0</v>
      </c>
      <c r="DP91" s="137">
        <f t="shared" si="556"/>
        <v>0</v>
      </c>
      <c r="DQ91" s="137">
        <f t="shared" si="556"/>
        <v>0</v>
      </c>
      <c r="DR91" s="137">
        <f t="shared" si="556"/>
        <v>0</v>
      </c>
      <c r="DS91" s="135">
        <f>IF($AY$91=0,1,DQ91/$AY$91-1)</f>
        <v>1</v>
      </c>
      <c r="DT91" s="135">
        <f>IF($AZ$91=0,1,DR91/$AZ$91-1)</f>
        <v>1</v>
      </c>
      <c r="DU91" s="135">
        <f t="shared" ref="DU91:DU112" si="557">IF($E91=0,1,DQ91/$E91-1)</f>
        <v>1</v>
      </c>
      <c r="DV91" s="135">
        <f t="shared" ref="DV91:DV112" si="558">IF($F91=0,1,DR91/$F91-1)</f>
        <v>1</v>
      </c>
      <c r="DW91" s="167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228" t="s">
        <v>38</v>
      </c>
      <c r="B92" s="229"/>
      <c r="C92" s="134">
        <f>'бюджет округа (района)'!C92+'бюджеты поселений'!C92</f>
        <v>0</v>
      </c>
      <c r="D92" s="137">
        <f>'бюджет округа (района)'!C92</f>
        <v>0</v>
      </c>
      <c r="E92" s="134">
        <f t="shared" ref="E92:F92" si="559">G92+I92+M92+Q92+U92+Y92+AC92+AG92+AK92+AO92+AS92+AW92</f>
        <v>0</v>
      </c>
      <c r="F92" s="137">
        <f t="shared" si="559"/>
        <v>0</v>
      </c>
      <c r="G92" s="134">
        <f>'бюджет округа (района)'!E92+'бюджеты поселений'!E92</f>
        <v>0</v>
      </c>
      <c r="H92" s="137">
        <f>'бюджет округа (района)'!E92</f>
        <v>0</v>
      </c>
      <c r="I92" s="134">
        <f>'бюджет округа (района)'!F92+'бюджеты поселений'!F92</f>
        <v>0</v>
      </c>
      <c r="J92" s="137">
        <f>'бюджет округа (района)'!F92</f>
        <v>0</v>
      </c>
      <c r="K92" s="137">
        <f t="shared" ref="K92:L107" si="560">G92+I92</f>
        <v>0</v>
      </c>
      <c r="L92" s="137">
        <f t="shared" si="560"/>
        <v>0</v>
      </c>
      <c r="M92" s="134">
        <f>'бюджет округа (района)'!H92+'бюджеты поселений'!H92</f>
        <v>0</v>
      </c>
      <c r="N92" s="137">
        <f>'бюджет округа (района)'!H92</f>
        <v>0</v>
      </c>
      <c r="O92" s="137">
        <f t="shared" ref="O92:P100" si="561">K92+M92</f>
        <v>0</v>
      </c>
      <c r="P92" s="137">
        <f t="shared" si="561"/>
        <v>0</v>
      </c>
      <c r="Q92" s="134">
        <f>'бюджет округа (района)'!J92+'бюджеты поселений'!J92</f>
        <v>0</v>
      </c>
      <c r="R92" s="137">
        <f>'бюджет округа (района)'!J92</f>
        <v>0</v>
      </c>
      <c r="S92" s="137">
        <f t="shared" ref="S92:T107" si="562">O92+Q92</f>
        <v>0</v>
      </c>
      <c r="T92" s="137">
        <f t="shared" si="562"/>
        <v>0</v>
      </c>
      <c r="U92" s="134">
        <f>'бюджет округа (района)'!L92+'бюджеты поселений'!L92</f>
        <v>0</v>
      </c>
      <c r="V92" s="137">
        <f>'бюджет округа (района)'!L92</f>
        <v>0</v>
      </c>
      <c r="W92" s="137">
        <f t="shared" ref="W92:X107" si="563">S92+U92</f>
        <v>0</v>
      </c>
      <c r="X92" s="137">
        <f t="shared" si="563"/>
        <v>0</v>
      </c>
      <c r="Y92" s="134">
        <f>'бюджет округа (района)'!N92+'бюджеты поселений'!N92</f>
        <v>0</v>
      </c>
      <c r="Z92" s="137">
        <f>'бюджет округа (района)'!N92</f>
        <v>0</v>
      </c>
      <c r="AA92" s="137">
        <f t="shared" ref="AA92:AB107" si="564">W92+Y92</f>
        <v>0</v>
      </c>
      <c r="AB92" s="137">
        <f t="shared" si="564"/>
        <v>0</v>
      </c>
      <c r="AC92" s="134">
        <f>'бюджет округа (района)'!P92+'бюджеты поселений'!P92</f>
        <v>0</v>
      </c>
      <c r="AD92" s="137">
        <f>'бюджет округа (района)'!P92</f>
        <v>0</v>
      </c>
      <c r="AE92" s="137">
        <f t="shared" ref="AE92:AF107" si="565">AA92+AC92</f>
        <v>0</v>
      </c>
      <c r="AF92" s="137">
        <f t="shared" si="565"/>
        <v>0</v>
      </c>
      <c r="AG92" s="134">
        <f>'бюджет округа (района)'!R92+'бюджеты поселений'!R92</f>
        <v>0</v>
      </c>
      <c r="AH92" s="137">
        <f>'бюджет округа (района)'!R92</f>
        <v>0</v>
      </c>
      <c r="AI92" s="137">
        <f t="shared" ref="AI92:AJ107" si="566">AE92+AG92</f>
        <v>0</v>
      </c>
      <c r="AJ92" s="137">
        <f t="shared" si="566"/>
        <v>0</v>
      </c>
      <c r="AK92" s="134">
        <f>'бюджет округа (района)'!T92+'бюджеты поселений'!T92</f>
        <v>0</v>
      </c>
      <c r="AL92" s="137">
        <f>'бюджет округа (района)'!T92</f>
        <v>0</v>
      </c>
      <c r="AM92" s="137">
        <f t="shared" ref="AM92:AN107" si="567">AI92+AK92</f>
        <v>0</v>
      </c>
      <c r="AN92" s="137">
        <f t="shared" si="567"/>
        <v>0</v>
      </c>
      <c r="AO92" s="134">
        <f>'бюджет округа (района)'!V92+'бюджеты поселений'!V92</f>
        <v>0</v>
      </c>
      <c r="AP92" s="137">
        <f>'бюджет округа (района)'!V92</f>
        <v>0</v>
      </c>
      <c r="AQ92" s="137">
        <f t="shared" ref="AQ92:AR107" si="568">AM92+AO92</f>
        <v>0</v>
      </c>
      <c r="AR92" s="137">
        <f t="shared" si="568"/>
        <v>0</v>
      </c>
      <c r="AS92" s="134">
        <f>'бюджет округа (района)'!X92+'бюджеты поселений'!X92</f>
        <v>0</v>
      </c>
      <c r="AT92" s="137">
        <f>'бюджет округа (района)'!X92</f>
        <v>0</v>
      </c>
      <c r="AU92" s="137">
        <f t="shared" ref="AU92:AV107" si="569">AQ92+AS92</f>
        <v>0</v>
      </c>
      <c r="AV92" s="137">
        <f t="shared" si="569"/>
        <v>0</v>
      </c>
      <c r="AW92" s="134">
        <f>'бюджет округа (района)'!Z92+'бюджеты поселений'!Z92</f>
        <v>0</v>
      </c>
      <c r="AX92" s="137">
        <f>'бюджет округа (района)'!Z92</f>
        <v>0</v>
      </c>
      <c r="AY92" s="134">
        <f>'бюджет округа (района)'!AA92+'бюджеты поселений'!AA92</f>
        <v>0</v>
      </c>
      <c r="AZ92" s="137">
        <f>'бюджет округа (района)'!AA92</f>
        <v>0</v>
      </c>
      <c r="BA92" s="135">
        <f t="shared" si="544"/>
        <v>1</v>
      </c>
      <c r="BB92" s="135">
        <f t="shared" si="544"/>
        <v>1</v>
      </c>
      <c r="BC92" s="134">
        <f>'бюджет округа (района)'!AC92+'бюджеты поселений'!AC92</f>
        <v>0</v>
      </c>
      <c r="BD92" s="137">
        <f>'бюджет округа (района)'!AC92</f>
        <v>0</v>
      </c>
      <c r="BE92" s="134">
        <f>'бюджет округа (района)'!AD92+'бюджеты поселений'!AD92</f>
        <v>0</v>
      </c>
      <c r="BF92" s="137">
        <f>'бюджет округа (района)'!AD92</f>
        <v>0</v>
      </c>
      <c r="BG92" s="137">
        <f t="shared" ref="BG92:BH107" si="570">BC92+BE92</f>
        <v>0</v>
      </c>
      <c r="BH92" s="137">
        <f t="shared" si="570"/>
        <v>0</v>
      </c>
      <c r="BI92" s="135">
        <f t="shared" si="546"/>
        <v>1</v>
      </c>
      <c r="BJ92" s="135">
        <f t="shared" si="546"/>
        <v>1</v>
      </c>
      <c r="BK92" s="134">
        <f>'бюджет округа (района)'!AG92+'бюджеты поселений'!AG92</f>
        <v>0</v>
      </c>
      <c r="BL92" s="137">
        <f>'бюджет округа (района)'!AG92</f>
        <v>0</v>
      </c>
      <c r="BM92" s="137">
        <f t="shared" ref="BM92:BN112" si="571">BG92+BK92</f>
        <v>0</v>
      </c>
      <c r="BN92" s="137">
        <f t="shared" si="571"/>
        <v>0</v>
      </c>
      <c r="BO92" s="135">
        <f t="shared" si="547"/>
        <v>1</v>
      </c>
      <c r="BP92" s="135">
        <f t="shared" si="547"/>
        <v>1</v>
      </c>
      <c r="BQ92" s="134">
        <f>'бюджет округа (района)'!AJ92+'бюджеты поселений'!AJ92</f>
        <v>0</v>
      </c>
      <c r="BR92" s="137">
        <f>'бюджет округа (района)'!AJ92</f>
        <v>0</v>
      </c>
      <c r="BS92" s="137">
        <f t="shared" ref="BS92:BT112" si="572">BM92+BQ92</f>
        <v>0</v>
      </c>
      <c r="BT92" s="137">
        <f t="shared" si="572"/>
        <v>0</v>
      </c>
      <c r="BU92" s="135">
        <f t="shared" si="548"/>
        <v>1</v>
      </c>
      <c r="BV92" s="135">
        <f t="shared" si="548"/>
        <v>1</v>
      </c>
      <c r="BW92" s="134">
        <f>'бюджет округа (района)'!AM92+'бюджеты поселений'!AM92</f>
        <v>0</v>
      </c>
      <c r="BX92" s="137">
        <f>'бюджет округа (района)'!AM92</f>
        <v>0</v>
      </c>
      <c r="BY92" s="137">
        <f t="shared" ref="BY92:BZ112" si="573">BS92+BW92</f>
        <v>0</v>
      </c>
      <c r="BZ92" s="137">
        <f t="shared" si="573"/>
        <v>0</v>
      </c>
      <c r="CA92" s="135">
        <f t="shared" si="549"/>
        <v>1</v>
      </c>
      <c r="CB92" s="135">
        <f t="shared" si="549"/>
        <v>1</v>
      </c>
      <c r="CC92" s="134">
        <f>'бюджет округа (района)'!AP92+'бюджеты поселений'!AP92</f>
        <v>0</v>
      </c>
      <c r="CD92" s="137">
        <f>'бюджет округа (района)'!AP92</f>
        <v>0</v>
      </c>
      <c r="CE92" s="137">
        <f t="shared" ref="CE92:CF112" si="574">BY92+CC92</f>
        <v>0</v>
      </c>
      <c r="CF92" s="137">
        <f t="shared" si="574"/>
        <v>0</v>
      </c>
      <c r="CG92" s="135">
        <f t="shared" si="550"/>
        <v>1</v>
      </c>
      <c r="CH92" s="135">
        <f t="shared" si="550"/>
        <v>1</v>
      </c>
      <c r="CI92" s="134">
        <f>'бюджет округа (района)'!AS92+'бюджеты поселений'!AS92</f>
        <v>0</v>
      </c>
      <c r="CJ92" s="137">
        <f>'бюджет округа (района)'!AS92</f>
        <v>0</v>
      </c>
      <c r="CK92" s="137">
        <f t="shared" ref="CK92:CL112" si="575">CE92+CI92</f>
        <v>0</v>
      </c>
      <c r="CL92" s="137">
        <f t="shared" si="575"/>
        <v>0</v>
      </c>
      <c r="CM92" s="135">
        <f t="shared" si="551"/>
        <v>1</v>
      </c>
      <c r="CN92" s="135">
        <f t="shared" si="551"/>
        <v>1</v>
      </c>
      <c r="CO92" s="134">
        <f>'бюджет округа (района)'!AV92+'бюджеты поселений'!AV92</f>
        <v>0</v>
      </c>
      <c r="CP92" s="137">
        <f>'бюджет округа (района)'!AV92</f>
        <v>0</v>
      </c>
      <c r="CQ92" s="137">
        <f t="shared" ref="CQ92:CR112" si="576">CK92+CO92</f>
        <v>0</v>
      </c>
      <c r="CR92" s="137">
        <f t="shared" si="576"/>
        <v>0</v>
      </c>
      <c r="CS92" s="135">
        <f t="shared" si="552"/>
        <v>1</v>
      </c>
      <c r="CT92" s="135">
        <f t="shared" si="552"/>
        <v>1</v>
      </c>
      <c r="CU92" s="134">
        <f>'бюджет округа (района)'!AY92+'бюджеты поселений'!AY92</f>
        <v>0</v>
      </c>
      <c r="CV92" s="137">
        <f>'бюджет округа (района)'!AY92</f>
        <v>0</v>
      </c>
      <c r="CW92" s="137">
        <f t="shared" ref="CW92:CX112" si="577">CQ92+CU92</f>
        <v>0</v>
      </c>
      <c r="CX92" s="137">
        <f t="shared" si="577"/>
        <v>0</v>
      </c>
      <c r="CY92" s="135">
        <f t="shared" si="553"/>
        <v>1</v>
      </c>
      <c r="CZ92" s="135">
        <f t="shared" si="553"/>
        <v>1</v>
      </c>
      <c r="DA92" s="134">
        <f>'бюджет округа (района)'!BB92+'бюджеты поселений'!BB92</f>
        <v>0</v>
      </c>
      <c r="DB92" s="137">
        <f>'бюджет округа (района)'!BB92</f>
        <v>0</v>
      </c>
      <c r="DC92" s="137">
        <f t="shared" ref="DC92:DD112" si="578">CW92+DA92</f>
        <v>0</v>
      </c>
      <c r="DD92" s="137">
        <f t="shared" si="578"/>
        <v>0</v>
      </c>
      <c r="DE92" s="135">
        <f t="shared" si="554"/>
        <v>1</v>
      </c>
      <c r="DF92" s="135">
        <f t="shared" si="554"/>
        <v>1</v>
      </c>
      <c r="DG92" s="134">
        <f>'бюджет округа (района)'!BE92+'бюджеты поселений'!BE92</f>
        <v>0</v>
      </c>
      <c r="DH92" s="137">
        <f>'бюджет округа (района)'!BE92</f>
        <v>0</v>
      </c>
      <c r="DI92" s="137">
        <f t="shared" ref="DI92:DJ112" si="579">DC92+DG92</f>
        <v>0</v>
      </c>
      <c r="DJ92" s="137">
        <f t="shared" si="579"/>
        <v>0</v>
      </c>
      <c r="DK92" s="135">
        <f t="shared" si="555"/>
        <v>1</v>
      </c>
      <c r="DL92" s="135">
        <f t="shared" si="555"/>
        <v>1</v>
      </c>
      <c r="DM92" s="134">
        <f>'бюджет округа (района)'!BH92+'бюджеты поселений'!BH92</f>
        <v>0</v>
      </c>
      <c r="DN92" s="137">
        <f>'бюджет округа (района)'!BH92</f>
        <v>0</v>
      </c>
      <c r="DO92" s="134">
        <f>'бюджет округа (района)'!BI92+'бюджеты поселений'!BI92</f>
        <v>0</v>
      </c>
      <c r="DP92" s="137">
        <f>'бюджет округа (района)'!BI92</f>
        <v>0</v>
      </c>
      <c r="DQ92" s="134">
        <f>'бюджет округа (района)'!BJ92+'бюджеты поселений'!BJ92</f>
        <v>0</v>
      </c>
      <c r="DR92" s="137">
        <f>'бюджет округа (района)'!BJ92</f>
        <v>0</v>
      </c>
      <c r="DS92" s="135">
        <f>IF($AY$92=0,1,DQ92/$AY$92-1)</f>
        <v>1</v>
      </c>
      <c r="DT92" s="135">
        <f>IF($AZ$92=0,1,DR92/$AZ$92-1)</f>
        <v>1</v>
      </c>
      <c r="DU92" s="135">
        <f t="shared" si="557"/>
        <v>1</v>
      </c>
      <c r="DV92" s="135">
        <f t="shared" si="558"/>
        <v>1</v>
      </c>
      <c r="DW92" s="167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36" t="s">
        <v>143</v>
      </c>
      <c r="B93" s="237"/>
      <c r="C93" s="134">
        <f>'бюджет округа (района)'!C93+'бюджеты поселений'!C93</f>
        <v>0</v>
      </c>
      <c r="D93" s="137">
        <f>'бюджет округа (района)'!C93</f>
        <v>0</v>
      </c>
      <c r="E93" s="134">
        <f>G93+I93+M93+Q93+U93+Y93+AC93+AG93+AK93+AO93+AS93+AW93</f>
        <v>0</v>
      </c>
      <c r="F93" s="137">
        <f>H93+J93+N93+R93+V93+Z93+AD93+AH93+AL93+AP93+AT93+AX93</f>
        <v>0</v>
      </c>
      <c r="G93" s="134">
        <f>'бюджет округа (района)'!E93+'бюджеты поселений'!E93</f>
        <v>0</v>
      </c>
      <c r="H93" s="137">
        <f>'бюджет округа (района)'!E93</f>
        <v>0</v>
      </c>
      <c r="I93" s="134">
        <f>'бюджет округа (района)'!F93+'бюджеты поселений'!F93</f>
        <v>0</v>
      </c>
      <c r="J93" s="137">
        <f>'бюджет округа (района)'!F93</f>
        <v>0</v>
      </c>
      <c r="K93" s="137">
        <f>G93+I93</f>
        <v>0</v>
      </c>
      <c r="L93" s="137">
        <f>H93+J93</f>
        <v>0</v>
      </c>
      <c r="M93" s="134">
        <f>'бюджет округа (района)'!H93+'бюджеты поселений'!H93</f>
        <v>0</v>
      </c>
      <c r="N93" s="137">
        <f>'бюджет округа (района)'!H93</f>
        <v>0</v>
      </c>
      <c r="O93" s="137">
        <f>K93+M93</f>
        <v>0</v>
      </c>
      <c r="P93" s="137">
        <f>L93+N93</f>
        <v>0</v>
      </c>
      <c r="Q93" s="134">
        <f>'бюджет округа (района)'!J93+'бюджеты поселений'!J93</f>
        <v>0</v>
      </c>
      <c r="R93" s="137">
        <f>'бюджет округа (района)'!J93</f>
        <v>0</v>
      </c>
      <c r="S93" s="137">
        <f>O93+Q93</f>
        <v>0</v>
      </c>
      <c r="T93" s="137">
        <f>P93+R93</f>
        <v>0</v>
      </c>
      <c r="U93" s="134">
        <f>'бюджет округа (района)'!L93+'бюджеты поселений'!L93</f>
        <v>0</v>
      </c>
      <c r="V93" s="137">
        <f>'бюджет округа (района)'!L93</f>
        <v>0</v>
      </c>
      <c r="W93" s="137">
        <f>S93+U93</f>
        <v>0</v>
      </c>
      <c r="X93" s="137">
        <f>T93+V93</f>
        <v>0</v>
      </c>
      <c r="Y93" s="134">
        <f>'бюджет округа (района)'!N93+'бюджеты поселений'!N93</f>
        <v>0</v>
      </c>
      <c r="Z93" s="137">
        <f>'бюджет округа (района)'!N93</f>
        <v>0</v>
      </c>
      <c r="AA93" s="137">
        <f>W93+Y93</f>
        <v>0</v>
      </c>
      <c r="AB93" s="137">
        <f>X93+Z93</f>
        <v>0</v>
      </c>
      <c r="AC93" s="134">
        <f>'бюджет округа (района)'!P93+'бюджеты поселений'!P93</f>
        <v>0</v>
      </c>
      <c r="AD93" s="137">
        <f>'бюджет округа (района)'!P93</f>
        <v>0</v>
      </c>
      <c r="AE93" s="137">
        <f>AA93+AC93</f>
        <v>0</v>
      </c>
      <c r="AF93" s="137">
        <f>AB93+AD93</f>
        <v>0</v>
      </c>
      <c r="AG93" s="134">
        <f>'бюджет округа (района)'!R93+'бюджеты поселений'!R93</f>
        <v>0</v>
      </c>
      <c r="AH93" s="137">
        <f>'бюджет округа (района)'!R93</f>
        <v>0</v>
      </c>
      <c r="AI93" s="137">
        <f>AE93+AG93</f>
        <v>0</v>
      </c>
      <c r="AJ93" s="137">
        <f>AF93+AH93</f>
        <v>0</v>
      </c>
      <c r="AK93" s="134">
        <f>'бюджет округа (района)'!T93+'бюджеты поселений'!T93</f>
        <v>0</v>
      </c>
      <c r="AL93" s="137">
        <f>'бюджет округа (района)'!T93</f>
        <v>0</v>
      </c>
      <c r="AM93" s="137">
        <f>AI93+AK93</f>
        <v>0</v>
      </c>
      <c r="AN93" s="137">
        <f>AJ93+AL93</f>
        <v>0</v>
      </c>
      <c r="AO93" s="134">
        <f>'бюджет округа (района)'!V93+'бюджеты поселений'!V93</f>
        <v>0</v>
      </c>
      <c r="AP93" s="137">
        <f>'бюджет округа (района)'!V93</f>
        <v>0</v>
      </c>
      <c r="AQ93" s="137">
        <f>AM93+AO93</f>
        <v>0</v>
      </c>
      <c r="AR93" s="137">
        <f>AN93+AP93</f>
        <v>0</v>
      </c>
      <c r="AS93" s="134">
        <f>'бюджет округа (района)'!X93+'бюджеты поселений'!X93</f>
        <v>0</v>
      </c>
      <c r="AT93" s="137">
        <f>'бюджет округа (района)'!X93</f>
        <v>0</v>
      </c>
      <c r="AU93" s="137">
        <f>AQ93+AS93</f>
        <v>0</v>
      </c>
      <c r="AV93" s="137">
        <f>AR93+AT93</f>
        <v>0</v>
      </c>
      <c r="AW93" s="134">
        <f>'бюджет округа (района)'!Z93+'бюджеты поселений'!Z93</f>
        <v>0</v>
      </c>
      <c r="AX93" s="137">
        <f>'бюджет округа (района)'!Z93</f>
        <v>0</v>
      </c>
      <c r="AY93" s="134">
        <f>'бюджет округа (района)'!AA93+'бюджеты поселений'!AA93</f>
        <v>0</v>
      </c>
      <c r="AZ93" s="137">
        <f>'бюджет округа (района)'!AA93</f>
        <v>0</v>
      </c>
      <c r="BA93" s="135">
        <f>IF(E93=0,1,AY93/E93-1)</f>
        <v>1</v>
      </c>
      <c r="BB93" s="135">
        <f>IF(F93=0,1,AZ93/F93-1)</f>
        <v>1</v>
      </c>
      <c r="BC93" s="134">
        <f>'бюджет округа (района)'!AC93+'бюджеты поселений'!AC93</f>
        <v>0</v>
      </c>
      <c r="BD93" s="137">
        <f>'бюджет округа (района)'!AC93</f>
        <v>0</v>
      </c>
      <c r="BE93" s="134">
        <f>'бюджет округа (района)'!AD93+'бюджеты поселений'!AD93</f>
        <v>0</v>
      </c>
      <c r="BF93" s="137">
        <f>'бюджет округа (района)'!AD93</f>
        <v>0</v>
      </c>
      <c r="BG93" s="137">
        <f>BC93+BE93</f>
        <v>0</v>
      </c>
      <c r="BH93" s="137">
        <f>BD93+BF93</f>
        <v>0</v>
      </c>
      <c r="BI93" s="135">
        <f>IF(K93=0,1,BG93/K93-1)</f>
        <v>1</v>
      </c>
      <c r="BJ93" s="135">
        <f>IF(L93=0,1,BH93/L93-1)</f>
        <v>1</v>
      </c>
      <c r="BK93" s="134">
        <f>'бюджет округа (района)'!AG93+'бюджеты поселений'!AG93</f>
        <v>0</v>
      </c>
      <c r="BL93" s="137">
        <f>'бюджет округа (района)'!AG93</f>
        <v>0</v>
      </c>
      <c r="BM93" s="137">
        <f>BG93+BK93</f>
        <v>0</v>
      </c>
      <c r="BN93" s="137">
        <f>BH93+BL93</f>
        <v>0</v>
      </c>
      <c r="BO93" s="135">
        <f>IF(O93=0,1,BM93/O93-1)</f>
        <v>1</v>
      </c>
      <c r="BP93" s="135">
        <f>IF(P93=0,1,BN93/P93-1)</f>
        <v>1</v>
      </c>
      <c r="BQ93" s="134">
        <f>'бюджет округа (района)'!AJ93+'бюджеты поселений'!AJ93</f>
        <v>0</v>
      </c>
      <c r="BR93" s="137">
        <f>'бюджет округа (района)'!AJ93</f>
        <v>0</v>
      </c>
      <c r="BS93" s="137">
        <f>BM93+BQ93</f>
        <v>0</v>
      </c>
      <c r="BT93" s="137">
        <f>BN93+BR93</f>
        <v>0</v>
      </c>
      <c r="BU93" s="135">
        <f>IF(S93=0,1,BS93/S93-1)</f>
        <v>1</v>
      </c>
      <c r="BV93" s="135">
        <f>IF(T93=0,1,BT93/T93-1)</f>
        <v>1</v>
      </c>
      <c r="BW93" s="134">
        <f>'бюджет округа (района)'!AM93+'бюджеты поселений'!AM93</f>
        <v>0</v>
      </c>
      <c r="BX93" s="137">
        <f>'бюджет округа (района)'!AM93</f>
        <v>0</v>
      </c>
      <c r="BY93" s="137">
        <f>BS93+BW93</f>
        <v>0</v>
      </c>
      <c r="BZ93" s="137">
        <f>BT93+BX93</f>
        <v>0</v>
      </c>
      <c r="CA93" s="135">
        <f>IF(W93=0,1,BY93/W93-1)</f>
        <v>1</v>
      </c>
      <c r="CB93" s="135">
        <f>IF(X93=0,1,BZ93/X93-1)</f>
        <v>1</v>
      </c>
      <c r="CC93" s="134">
        <f>'бюджет округа (района)'!AP93+'бюджеты поселений'!AP93</f>
        <v>0</v>
      </c>
      <c r="CD93" s="137">
        <f>'бюджет округа (района)'!AP93</f>
        <v>0</v>
      </c>
      <c r="CE93" s="137">
        <f>BY93+CC93</f>
        <v>0</v>
      </c>
      <c r="CF93" s="137">
        <f>BZ93+CD93</f>
        <v>0</v>
      </c>
      <c r="CG93" s="135">
        <f>IF(AA93=0,1,CE93/AA93-1)</f>
        <v>1</v>
      </c>
      <c r="CH93" s="135">
        <f>IF(AB93=0,1,CF93/AB93-1)</f>
        <v>1</v>
      </c>
      <c r="CI93" s="134">
        <f>'бюджет округа (района)'!AS93+'бюджеты поселений'!AS93</f>
        <v>0</v>
      </c>
      <c r="CJ93" s="137">
        <f>'бюджет округа (района)'!AS93</f>
        <v>0</v>
      </c>
      <c r="CK93" s="137">
        <f>CE93+CI93</f>
        <v>0</v>
      </c>
      <c r="CL93" s="137">
        <f>CF93+CJ93</f>
        <v>0</v>
      </c>
      <c r="CM93" s="135">
        <f>IF(AE93=0,1,CK93/AE93-1)</f>
        <v>1</v>
      </c>
      <c r="CN93" s="135">
        <f>IF(AF93=0,1,CL93/AF93-1)</f>
        <v>1</v>
      </c>
      <c r="CO93" s="134">
        <f>'бюджет округа (района)'!AV93+'бюджеты поселений'!AV93</f>
        <v>0</v>
      </c>
      <c r="CP93" s="137">
        <f>'бюджет округа (района)'!AV93</f>
        <v>0</v>
      </c>
      <c r="CQ93" s="137">
        <f>CK93+CO93</f>
        <v>0</v>
      </c>
      <c r="CR93" s="137">
        <f>CL93+CP93</f>
        <v>0</v>
      </c>
      <c r="CS93" s="135">
        <f>IF(AI93=0,1,CQ93/AI93-1)</f>
        <v>1</v>
      </c>
      <c r="CT93" s="135">
        <f>IF(AJ93=0,1,CR93/AJ93-1)</f>
        <v>1</v>
      </c>
      <c r="CU93" s="134">
        <f>'бюджет округа (района)'!AY93+'бюджеты поселений'!AY93</f>
        <v>0</v>
      </c>
      <c r="CV93" s="137">
        <f>'бюджет округа (района)'!AY93</f>
        <v>0</v>
      </c>
      <c r="CW93" s="137">
        <f>CQ93+CU93</f>
        <v>0</v>
      </c>
      <c r="CX93" s="137">
        <f>CR93+CV93</f>
        <v>0</v>
      </c>
      <c r="CY93" s="135">
        <f>IF(AM93=0,1,CW93/AM93-1)</f>
        <v>1</v>
      </c>
      <c r="CZ93" s="135">
        <f>IF(AN93=0,1,CX93/AN93-1)</f>
        <v>1</v>
      </c>
      <c r="DA93" s="134">
        <f>'бюджет округа (района)'!BB93+'бюджеты поселений'!BB93</f>
        <v>0</v>
      </c>
      <c r="DB93" s="137">
        <f>'бюджет округа (района)'!BB93</f>
        <v>0</v>
      </c>
      <c r="DC93" s="137">
        <f>CW93+DA93</f>
        <v>0</v>
      </c>
      <c r="DD93" s="137">
        <f>CX93+DB93</f>
        <v>0</v>
      </c>
      <c r="DE93" s="135">
        <f>IF(AQ93=0,1,DC93/AQ93-1)</f>
        <v>1</v>
      </c>
      <c r="DF93" s="135">
        <f>IF(AR93=0,1,DD93/AR93-1)</f>
        <v>1</v>
      </c>
      <c r="DG93" s="134">
        <f>'бюджет округа (района)'!BE93+'бюджеты поселений'!BE93</f>
        <v>0</v>
      </c>
      <c r="DH93" s="137">
        <f>'бюджет округа (района)'!BE93</f>
        <v>0</v>
      </c>
      <c r="DI93" s="137">
        <f>DC93+DG93</f>
        <v>0</v>
      </c>
      <c r="DJ93" s="137">
        <f>DD93+DH93</f>
        <v>0</v>
      </c>
      <c r="DK93" s="135">
        <f>IF(AU93=0,1,DI93/AU93-1)</f>
        <v>1</v>
      </c>
      <c r="DL93" s="135">
        <f>IF(AV93=0,1,DJ93/AV93-1)</f>
        <v>1</v>
      </c>
      <c r="DM93" s="134">
        <f>'бюджет округа (района)'!BH93+'бюджеты поселений'!BH93</f>
        <v>0</v>
      </c>
      <c r="DN93" s="137">
        <f>'бюджет округа (района)'!BH93</f>
        <v>0</v>
      </c>
      <c r="DO93" s="134">
        <f>'бюджет округа (района)'!BI93+'бюджеты поселений'!BI93</f>
        <v>0</v>
      </c>
      <c r="DP93" s="137">
        <f>'бюджет округа (района)'!BI93</f>
        <v>0</v>
      </c>
      <c r="DQ93" s="134">
        <f>'бюджет округа (района)'!BJ93+'бюджеты поселений'!BJ93</f>
        <v>0</v>
      </c>
      <c r="DR93" s="137">
        <f>'бюджет округа (района)'!BJ93</f>
        <v>0</v>
      </c>
      <c r="DS93" s="135">
        <f>IF($AY$93=0,1,DQ93/$AY$93-1)</f>
        <v>1</v>
      </c>
      <c r="DT93" s="135">
        <f>IF($AZ$93=0,1,DR93/$AZ$93-1)</f>
        <v>1</v>
      </c>
      <c r="DU93" s="135">
        <f t="shared" si="557"/>
        <v>1</v>
      </c>
      <c r="DV93" s="135">
        <f t="shared" si="558"/>
        <v>1</v>
      </c>
      <c r="DW93" s="167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28" t="s">
        <v>65</v>
      </c>
      <c r="B94" s="229"/>
      <c r="C94" s="134">
        <f t="shared" ref="C94:J94" si="580">C95+C96+C97+C98+C99+C100</f>
        <v>0</v>
      </c>
      <c r="D94" s="134">
        <f t="shared" si="580"/>
        <v>0</v>
      </c>
      <c r="E94" s="134">
        <f t="shared" si="580"/>
        <v>0</v>
      </c>
      <c r="F94" s="134">
        <f t="shared" si="580"/>
        <v>0</v>
      </c>
      <c r="G94" s="134">
        <f t="shared" si="580"/>
        <v>0</v>
      </c>
      <c r="H94" s="134">
        <f t="shared" si="580"/>
        <v>0</v>
      </c>
      <c r="I94" s="134">
        <f t="shared" si="580"/>
        <v>0</v>
      </c>
      <c r="J94" s="134">
        <f t="shared" si="580"/>
        <v>0</v>
      </c>
      <c r="K94" s="137">
        <f t="shared" si="560"/>
        <v>0</v>
      </c>
      <c r="L94" s="137">
        <f t="shared" si="560"/>
        <v>0</v>
      </c>
      <c r="M94" s="134">
        <f>M95+M96+M97+M98+M99+M100</f>
        <v>0</v>
      </c>
      <c r="N94" s="134">
        <f>N95+N96+N97+N98+N99+N100</f>
        <v>0</v>
      </c>
      <c r="O94" s="137">
        <f t="shared" si="561"/>
        <v>0</v>
      </c>
      <c r="P94" s="137">
        <f t="shared" si="561"/>
        <v>0</v>
      </c>
      <c r="Q94" s="134">
        <f>Q95+Q96+Q97+Q98+Q99+Q100</f>
        <v>0</v>
      </c>
      <c r="R94" s="134">
        <f>R95+R96+R97+R98+R99+R100</f>
        <v>0</v>
      </c>
      <c r="S94" s="137">
        <f t="shared" si="562"/>
        <v>0</v>
      </c>
      <c r="T94" s="137">
        <f t="shared" si="562"/>
        <v>0</v>
      </c>
      <c r="U94" s="134">
        <f>U95+U96+U97+U98+U99+U100</f>
        <v>0</v>
      </c>
      <c r="V94" s="134">
        <f>V95+V96+V97+V98+V99+V100</f>
        <v>0</v>
      </c>
      <c r="W94" s="137">
        <f t="shared" si="563"/>
        <v>0</v>
      </c>
      <c r="X94" s="137">
        <f t="shared" si="563"/>
        <v>0</v>
      </c>
      <c r="Y94" s="134">
        <f>Y95+Y96+Y97+Y98+Y99+Y100</f>
        <v>0</v>
      </c>
      <c r="Z94" s="134">
        <f>Z95+Z96+Z97+Z98+Z99+Z100</f>
        <v>0</v>
      </c>
      <c r="AA94" s="137">
        <f t="shared" si="564"/>
        <v>0</v>
      </c>
      <c r="AB94" s="137">
        <f t="shared" si="564"/>
        <v>0</v>
      </c>
      <c r="AC94" s="134">
        <f>AC95+AC96+AC97+AC98+AC99+AC100</f>
        <v>0</v>
      </c>
      <c r="AD94" s="134">
        <f>AD95+AD96+AD97+AD98+AD99+AD100</f>
        <v>0</v>
      </c>
      <c r="AE94" s="137">
        <f t="shared" si="565"/>
        <v>0</v>
      </c>
      <c r="AF94" s="137">
        <f t="shared" si="565"/>
        <v>0</v>
      </c>
      <c r="AG94" s="134">
        <f>AG95+AG96+AG97+AG98+AG99+AG100</f>
        <v>0</v>
      </c>
      <c r="AH94" s="134">
        <f>AH95+AH96+AH97+AH98+AH99+AH100</f>
        <v>0</v>
      </c>
      <c r="AI94" s="137">
        <f t="shared" si="566"/>
        <v>0</v>
      </c>
      <c r="AJ94" s="137">
        <f t="shared" si="566"/>
        <v>0</v>
      </c>
      <c r="AK94" s="134">
        <f>AK95+AK96+AK97+AK98+AK99+AK100</f>
        <v>0</v>
      </c>
      <c r="AL94" s="134">
        <f>AL95+AL96+AL97+AL98+AL99+AL100</f>
        <v>0</v>
      </c>
      <c r="AM94" s="137">
        <f t="shared" si="567"/>
        <v>0</v>
      </c>
      <c r="AN94" s="137">
        <f t="shared" si="567"/>
        <v>0</v>
      </c>
      <c r="AO94" s="134">
        <f>AO95+AO96+AO97+AO98+AO99+AO100</f>
        <v>0</v>
      </c>
      <c r="AP94" s="134">
        <f>AP95+AP96+AP97+AP98+AP99+AP100</f>
        <v>0</v>
      </c>
      <c r="AQ94" s="137">
        <f t="shared" si="568"/>
        <v>0</v>
      </c>
      <c r="AR94" s="137">
        <f t="shared" si="568"/>
        <v>0</v>
      </c>
      <c r="AS94" s="134">
        <f>AS95+AS96+AS97+AS98+AS99+AS100</f>
        <v>0</v>
      </c>
      <c r="AT94" s="134">
        <f>AT95+AT96+AT97+AT98+AT99+AT100</f>
        <v>0</v>
      </c>
      <c r="AU94" s="137">
        <f t="shared" si="569"/>
        <v>0</v>
      </c>
      <c r="AV94" s="137">
        <f t="shared" si="569"/>
        <v>0</v>
      </c>
      <c r="AW94" s="134">
        <f>AW95+AW96+AW97+AW98+AW99+AW100</f>
        <v>0</v>
      </c>
      <c r="AX94" s="134">
        <f>AX95+AX96+AX97+AX98+AX99+AX100</f>
        <v>0</v>
      </c>
      <c r="AY94" s="134">
        <f>AY95+AY96+AY97+AY98+AY99+AY100</f>
        <v>0</v>
      </c>
      <c r="AZ94" s="134">
        <f>AZ95+AZ96+AZ97+AZ98+AZ99+AZ100</f>
        <v>0</v>
      </c>
      <c r="BA94" s="135">
        <f t="shared" ref="BA94:BB112" si="581">IF(E94=0,1,AY94/E94-1)</f>
        <v>1</v>
      </c>
      <c r="BB94" s="135">
        <f t="shared" si="581"/>
        <v>1</v>
      </c>
      <c r="BC94" s="134">
        <f>BC95+BC96+BC97+BC98+BC99+BC100</f>
        <v>0</v>
      </c>
      <c r="BD94" s="134">
        <f>BD95+BD96+BD97+BD98+BD99+BD100</f>
        <v>0</v>
      </c>
      <c r="BE94" s="134">
        <f>BE95+BE96+BE97+BE98+BE99+BE100</f>
        <v>0</v>
      </c>
      <c r="BF94" s="134">
        <f>BF95+BF96+BF97+BF98+BF99+BF100</f>
        <v>0</v>
      </c>
      <c r="BG94" s="137">
        <f t="shared" si="570"/>
        <v>0</v>
      </c>
      <c r="BH94" s="137">
        <f t="shared" si="570"/>
        <v>0</v>
      </c>
      <c r="BI94" s="135">
        <f t="shared" si="546"/>
        <v>1</v>
      </c>
      <c r="BJ94" s="135">
        <f t="shared" si="546"/>
        <v>1</v>
      </c>
      <c r="BK94" s="134">
        <f>BK95+BK96+BK97+BK98+BK99+BK100</f>
        <v>0</v>
      </c>
      <c r="BL94" s="134">
        <f>BL95+BL96+BL97+BL98+BL99+BL100</f>
        <v>0</v>
      </c>
      <c r="BM94" s="137">
        <f t="shared" si="571"/>
        <v>0</v>
      </c>
      <c r="BN94" s="137">
        <f t="shared" si="571"/>
        <v>0</v>
      </c>
      <c r="BO94" s="135">
        <f t="shared" si="547"/>
        <v>1</v>
      </c>
      <c r="BP94" s="135">
        <f t="shared" si="547"/>
        <v>1</v>
      </c>
      <c r="BQ94" s="134">
        <f>BQ95+BQ96+BQ97+BQ98+BQ99+BQ100</f>
        <v>0</v>
      </c>
      <c r="BR94" s="134">
        <f>BR95+BR96+BR97+BR98+BR99+BR100</f>
        <v>0</v>
      </c>
      <c r="BS94" s="137">
        <f t="shared" si="572"/>
        <v>0</v>
      </c>
      <c r="BT94" s="137">
        <f t="shared" si="572"/>
        <v>0</v>
      </c>
      <c r="BU94" s="135">
        <f t="shared" si="548"/>
        <v>1</v>
      </c>
      <c r="BV94" s="135">
        <f t="shared" si="548"/>
        <v>1</v>
      </c>
      <c r="BW94" s="134">
        <f>BW95+BW96+BW97+BW98+BW99+BW100</f>
        <v>0</v>
      </c>
      <c r="BX94" s="134">
        <f>BX95+BX96+BX97+BX98+BX99+BX100</f>
        <v>0</v>
      </c>
      <c r="BY94" s="137">
        <f t="shared" si="573"/>
        <v>0</v>
      </c>
      <c r="BZ94" s="137">
        <f t="shared" si="573"/>
        <v>0</v>
      </c>
      <c r="CA94" s="135">
        <f t="shared" si="549"/>
        <v>1</v>
      </c>
      <c r="CB94" s="135">
        <f t="shared" si="549"/>
        <v>1</v>
      </c>
      <c r="CC94" s="134">
        <f>CC95+CC96+CC97+CC98+CC99+CC100</f>
        <v>0</v>
      </c>
      <c r="CD94" s="134">
        <f>CD95+CD96+CD97+CD98+CD99+CD100</f>
        <v>0</v>
      </c>
      <c r="CE94" s="137">
        <f t="shared" si="574"/>
        <v>0</v>
      </c>
      <c r="CF94" s="137">
        <f t="shared" si="574"/>
        <v>0</v>
      </c>
      <c r="CG94" s="135">
        <f t="shared" si="550"/>
        <v>1</v>
      </c>
      <c r="CH94" s="135">
        <f t="shared" si="550"/>
        <v>1</v>
      </c>
      <c r="CI94" s="134">
        <f>CI95+CI96+CI97+CI98+CI99+CI100</f>
        <v>0</v>
      </c>
      <c r="CJ94" s="134">
        <f>CJ95+CJ96+CJ97+CJ98+CJ99+CJ100</f>
        <v>0</v>
      </c>
      <c r="CK94" s="137">
        <f t="shared" si="575"/>
        <v>0</v>
      </c>
      <c r="CL94" s="137">
        <f t="shared" si="575"/>
        <v>0</v>
      </c>
      <c r="CM94" s="135">
        <f t="shared" si="551"/>
        <v>1</v>
      </c>
      <c r="CN94" s="135">
        <f t="shared" si="551"/>
        <v>1</v>
      </c>
      <c r="CO94" s="134">
        <f>CO95+CO96+CO97+CO98+CO99+CO100</f>
        <v>0</v>
      </c>
      <c r="CP94" s="134">
        <f>CP95+CP96+CP97+CP98+CP99+CP100</f>
        <v>0</v>
      </c>
      <c r="CQ94" s="137">
        <f t="shared" si="576"/>
        <v>0</v>
      </c>
      <c r="CR94" s="137">
        <f t="shared" si="576"/>
        <v>0</v>
      </c>
      <c r="CS94" s="135">
        <f t="shared" si="552"/>
        <v>1</v>
      </c>
      <c r="CT94" s="135">
        <f t="shared" si="552"/>
        <v>1</v>
      </c>
      <c r="CU94" s="134">
        <f>CU95+CU96+CU97+CU98+CU99+CU100</f>
        <v>0</v>
      </c>
      <c r="CV94" s="134">
        <f>CV95+CV96+CV97+CV98+CV99+CV100</f>
        <v>0</v>
      </c>
      <c r="CW94" s="137">
        <f t="shared" si="577"/>
        <v>0</v>
      </c>
      <c r="CX94" s="137">
        <f t="shared" si="577"/>
        <v>0</v>
      </c>
      <c r="CY94" s="135">
        <f t="shared" si="553"/>
        <v>1</v>
      </c>
      <c r="CZ94" s="135">
        <f t="shared" si="553"/>
        <v>1</v>
      </c>
      <c r="DA94" s="134">
        <f>DA95+DA96+DA97+DA98+DA99+DA100</f>
        <v>0</v>
      </c>
      <c r="DB94" s="134">
        <f>DB95+DB96+DB97+DB98+DB99+DB100</f>
        <v>0</v>
      </c>
      <c r="DC94" s="137">
        <f t="shared" si="578"/>
        <v>0</v>
      </c>
      <c r="DD94" s="137">
        <f t="shared" si="578"/>
        <v>0</v>
      </c>
      <c r="DE94" s="135">
        <f t="shared" si="554"/>
        <v>1</v>
      </c>
      <c r="DF94" s="135">
        <f t="shared" si="554"/>
        <v>1</v>
      </c>
      <c r="DG94" s="134">
        <f>DG95+DG96+DG97+DG98+DG99+DG100</f>
        <v>0</v>
      </c>
      <c r="DH94" s="134">
        <f>DH95+DH96+DH97+DH98+DH99+DH100</f>
        <v>0</v>
      </c>
      <c r="DI94" s="137">
        <f t="shared" si="579"/>
        <v>0</v>
      </c>
      <c r="DJ94" s="137">
        <f t="shared" si="579"/>
        <v>0</v>
      </c>
      <c r="DK94" s="135">
        <f t="shared" si="555"/>
        <v>1</v>
      </c>
      <c r="DL94" s="135">
        <f t="shared" si="555"/>
        <v>1</v>
      </c>
      <c r="DM94" s="134">
        <f t="shared" ref="DM94:DR94" si="582">DM95+DM96+DM97+DM98+DM99+DM100</f>
        <v>0</v>
      </c>
      <c r="DN94" s="134">
        <f t="shared" si="582"/>
        <v>0</v>
      </c>
      <c r="DO94" s="134">
        <f t="shared" si="582"/>
        <v>0</v>
      </c>
      <c r="DP94" s="134">
        <f t="shared" si="582"/>
        <v>0</v>
      </c>
      <c r="DQ94" s="134">
        <f t="shared" si="582"/>
        <v>0</v>
      </c>
      <c r="DR94" s="134">
        <f t="shared" si="582"/>
        <v>0</v>
      </c>
      <c r="DS94" s="135">
        <f>IF($AY$94=0,1,DQ94/$AY$94-1)</f>
        <v>1</v>
      </c>
      <c r="DT94" s="135">
        <f>IF($AZ$94=0,1,DR94/$AZ$94-1)</f>
        <v>1</v>
      </c>
      <c r="DU94" s="135">
        <f t="shared" si="557"/>
        <v>1</v>
      </c>
      <c r="DV94" s="135">
        <f t="shared" si="558"/>
        <v>1</v>
      </c>
      <c r="DW94" s="167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30" t="s">
        <v>67</v>
      </c>
      <c r="B95" s="231"/>
      <c r="C95" s="134">
        <f>'бюджет округа (района)'!C95+'бюджеты поселений'!C95</f>
        <v>0</v>
      </c>
      <c r="D95" s="137">
        <f>'бюджет округа (района)'!C95</f>
        <v>0</v>
      </c>
      <c r="E95" s="134">
        <f t="shared" ref="E95:F100" si="583">G95+I95+M95+Q95+U95+Y95+AC95+AG95+AK95+AO95+AS95+AW95</f>
        <v>0</v>
      </c>
      <c r="F95" s="137">
        <f t="shared" si="583"/>
        <v>0</v>
      </c>
      <c r="G95" s="134">
        <f>'бюджет округа (района)'!E95+'бюджеты поселений'!E95</f>
        <v>0</v>
      </c>
      <c r="H95" s="137">
        <f>'бюджет округа (района)'!E95</f>
        <v>0</v>
      </c>
      <c r="I95" s="134">
        <f>'бюджет округа (района)'!F95+'бюджеты поселений'!F95</f>
        <v>0</v>
      </c>
      <c r="J95" s="137">
        <f>'бюджет округа (района)'!F95</f>
        <v>0</v>
      </c>
      <c r="K95" s="137">
        <f t="shared" si="560"/>
        <v>0</v>
      </c>
      <c r="L95" s="137">
        <f t="shared" si="560"/>
        <v>0</v>
      </c>
      <c r="M95" s="134">
        <f>'бюджет округа (района)'!H95+'бюджеты поселений'!H95</f>
        <v>0</v>
      </c>
      <c r="N95" s="137">
        <f>'бюджет округа (района)'!H95</f>
        <v>0</v>
      </c>
      <c r="O95" s="137">
        <f t="shared" si="561"/>
        <v>0</v>
      </c>
      <c r="P95" s="137">
        <f t="shared" si="561"/>
        <v>0</v>
      </c>
      <c r="Q95" s="134">
        <f>'бюджет округа (района)'!J95+'бюджеты поселений'!J95</f>
        <v>0</v>
      </c>
      <c r="R95" s="137">
        <f>'бюджет округа (района)'!J95</f>
        <v>0</v>
      </c>
      <c r="S95" s="137">
        <f t="shared" si="562"/>
        <v>0</v>
      </c>
      <c r="T95" s="137">
        <f t="shared" si="562"/>
        <v>0</v>
      </c>
      <c r="U95" s="134">
        <f>'бюджет округа (района)'!L95+'бюджеты поселений'!L95</f>
        <v>0</v>
      </c>
      <c r="V95" s="137">
        <f>'бюджет округа (района)'!L95</f>
        <v>0</v>
      </c>
      <c r="W95" s="137">
        <f t="shared" si="563"/>
        <v>0</v>
      </c>
      <c r="X95" s="137">
        <f t="shared" si="563"/>
        <v>0</v>
      </c>
      <c r="Y95" s="134">
        <f>'бюджет округа (района)'!N95+'бюджеты поселений'!N95</f>
        <v>0</v>
      </c>
      <c r="Z95" s="137">
        <f>'бюджет округа (района)'!N95</f>
        <v>0</v>
      </c>
      <c r="AA95" s="137">
        <f t="shared" si="564"/>
        <v>0</v>
      </c>
      <c r="AB95" s="137">
        <f t="shared" si="564"/>
        <v>0</v>
      </c>
      <c r="AC95" s="134">
        <f>'бюджет округа (района)'!P95+'бюджеты поселений'!P95</f>
        <v>0</v>
      </c>
      <c r="AD95" s="137">
        <f>'бюджет округа (района)'!P95</f>
        <v>0</v>
      </c>
      <c r="AE95" s="137">
        <f t="shared" si="565"/>
        <v>0</v>
      </c>
      <c r="AF95" s="137">
        <f t="shared" si="565"/>
        <v>0</v>
      </c>
      <c r="AG95" s="134">
        <f>'бюджет округа (района)'!R95+'бюджеты поселений'!R95</f>
        <v>0</v>
      </c>
      <c r="AH95" s="137">
        <f>'бюджет округа (района)'!R95</f>
        <v>0</v>
      </c>
      <c r="AI95" s="137">
        <f t="shared" si="566"/>
        <v>0</v>
      </c>
      <c r="AJ95" s="137">
        <f t="shared" si="566"/>
        <v>0</v>
      </c>
      <c r="AK95" s="134">
        <f>'бюджет округа (района)'!T95+'бюджеты поселений'!T95</f>
        <v>0</v>
      </c>
      <c r="AL95" s="137">
        <f>'бюджет округа (района)'!T95</f>
        <v>0</v>
      </c>
      <c r="AM95" s="137">
        <f t="shared" si="567"/>
        <v>0</v>
      </c>
      <c r="AN95" s="137">
        <f t="shared" si="567"/>
        <v>0</v>
      </c>
      <c r="AO95" s="134">
        <f>'бюджет округа (района)'!V95+'бюджеты поселений'!V95</f>
        <v>0</v>
      </c>
      <c r="AP95" s="137">
        <f>'бюджет округа (района)'!V95</f>
        <v>0</v>
      </c>
      <c r="AQ95" s="137">
        <f t="shared" si="568"/>
        <v>0</v>
      </c>
      <c r="AR95" s="137">
        <f t="shared" si="568"/>
        <v>0</v>
      </c>
      <c r="AS95" s="134">
        <f>'бюджет округа (района)'!X95+'бюджеты поселений'!X95</f>
        <v>0</v>
      </c>
      <c r="AT95" s="137">
        <f>'бюджет округа (района)'!X95</f>
        <v>0</v>
      </c>
      <c r="AU95" s="137">
        <f t="shared" si="569"/>
        <v>0</v>
      </c>
      <c r="AV95" s="137">
        <f t="shared" si="569"/>
        <v>0</v>
      </c>
      <c r="AW95" s="134">
        <f>'бюджет округа (района)'!Z95+'бюджеты поселений'!Z95</f>
        <v>0</v>
      </c>
      <c r="AX95" s="137">
        <f>'бюджет округа (района)'!Z95</f>
        <v>0</v>
      </c>
      <c r="AY95" s="134">
        <f>'бюджет округа (района)'!AA95+'бюджеты поселений'!AA95</f>
        <v>0</v>
      </c>
      <c r="AZ95" s="137">
        <f>'бюджет округа (района)'!AA95</f>
        <v>0</v>
      </c>
      <c r="BA95" s="135">
        <f t="shared" si="581"/>
        <v>1</v>
      </c>
      <c r="BB95" s="135">
        <f t="shared" si="581"/>
        <v>1</v>
      </c>
      <c r="BC95" s="134">
        <f>'бюджет округа (района)'!AC95+'бюджеты поселений'!AC95</f>
        <v>0</v>
      </c>
      <c r="BD95" s="137">
        <f>'бюджет округа (района)'!AC95</f>
        <v>0</v>
      </c>
      <c r="BE95" s="134">
        <f>'бюджет округа (района)'!AD95+'бюджеты поселений'!AD95</f>
        <v>0</v>
      </c>
      <c r="BF95" s="137">
        <f>'бюджет округа (района)'!AD95</f>
        <v>0</v>
      </c>
      <c r="BG95" s="137">
        <f t="shared" si="570"/>
        <v>0</v>
      </c>
      <c r="BH95" s="137">
        <f t="shared" si="570"/>
        <v>0</v>
      </c>
      <c r="BI95" s="135">
        <f t="shared" si="546"/>
        <v>1</v>
      </c>
      <c r="BJ95" s="135">
        <f t="shared" si="546"/>
        <v>1</v>
      </c>
      <c r="BK95" s="134">
        <f>'бюджет округа (района)'!AG95+'бюджеты поселений'!AG95</f>
        <v>0</v>
      </c>
      <c r="BL95" s="137">
        <f>'бюджет округа (района)'!AG95</f>
        <v>0</v>
      </c>
      <c r="BM95" s="137">
        <f t="shared" si="571"/>
        <v>0</v>
      </c>
      <c r="BN95" s="137">
        <f t="shared" si="571"/>
        <v>0</v>
      </c>
      <c r="BO95" s="135">
        <f t="shared" si="547"/>
        <v>1</v>
      </c>
      <c r="BP95" s="135">
        <f t="shared" si="547"/>
        <v>1</v>
      </c>
      <c r="BQ95" s="134">
        <f>'бюджет округа (района)'!AJ95+'бюджеты поселений'!AJ95</f>
        <v>0</v>
      </c>
      <c r="BR95" s="137">
        <f>'бюджет округа (района)'!AJ95</f>
        <v>0</v>
      </c>
      <c r="BS95" s="137">
        <f t="shared" si="572"/>
        <v>0</v>
      </c>
      <c r="BT95" s="137">
        <f t="shared" si="572"/>
        <v>0</v>
      </c>
      <c r="BU95" s="135">
        <f t="shared" si="548"/>
        <v>1</v>
      </c>
      <c r="BV95" s="135">
        <f t="shared" si="548"/>
        <v>1</v>
      </c>
      <c r="BW95" s="134">
        <f>'бюджет округа (района)'!AM95+'бюджеты поселений'!AM95</f>
        <v>0</v>
      </c>
      <c r="BX95" s="137">
        <f>'бюджет округа (района)'!AM95</f>
        <v>0</v>
      </c>
      <c r="BY95" s="137">
        <f t="shared" si="573"/>
        <v>0</v>
      </c>
      <c r="BZ95" s="137">
        <f t="shared" si="573"/>
        <v>0</v>
      </c>
      <c r="CA95" s="135">
        <f t="shared" si="549"/>
        <v>1</v>
      </c>
      <c r="CB95" s="135">
        <f t="shared" si="549"/>
        <v>1</v>
      </c>
      <c r="CC95" s="134">
        <f>'бюджет округа (района)'!AP95+'бюджеты поселений'!AP95</f>
        <v>0</v>
      </c>
      <c r="CD95" s="137">
        <f>'бюджет округа (района)'!AP95</f>
        <v>0</v>
      </c>
      <c r="CE95" s="137">
        <f t="shared" si="574"/>
        <v>0</v>
      </c>
      <c r="CF95" s="137">
        <f t="shared" si="574"/>
        <v>0</v>
      </c>
      <c r="CG95" s="135">
        <f t="shared" si="550"/>
        <v>1</v>
      </c>
      <c r="CH95" s="135">
        <f t="shared" si="550"/>
        <v>1</v>
      </c>
      <c r="CI95" s="134">
        <f>'бюджет округа (района)'!AS95+'бюджеты поселений'!AS95</f>
        <v>0</v>
      </c>
      <c r="CJ95" s="137">
        <f>'бюджет округа (района)'!AS95</f>
        <v>0</v>
      </c>
      <c r="CK95" s="137">
        <f t="shared" si="575"/>
        <v>0</v>
      </c>
      <c r="CL95" s="137">
        <f t="shared" si="575"/>
        <v>0</v>
      </c>
      <c r="CM95" s="135">
        <f t="shared" si="551"/>
        <v>1</v>
      </c>
      <c r="CN95" s="135">
        <f t="shared" si="551"/>
        <v>1</v>
      </c>
      <c r="CO95" s="134">
        <f>'бюджет округа (района)'!AV95+'бюджеты поселений'!AV95</f>
        <v>0</v>
      </c>
      <c r="CP95" s="137">
        <f>'бюджет округа (района)'!AV95</f>
        <v>0</v>
      </c>
      <c r="CQ95" s="137">
        <f t="shared" si="576"/>
        <v>0</v>
      </c>
      <c r="CR95" s="137">
        <f t="shared" si="576"/>
        <v>0</v>
      </c>
      <c r="CS95" s="135">
        <f t="shared" si="552"/>
        <v>1</v>
      </c>
      <c r="CT95" s="135">
        <f t="shared" si="552"/>
        <v>1</v>
      </c>
      <c r="CU95" s="134">
        <f>'бюджет округа (района)'!AY95+'бюджеты поселений'!AY95</f>
        <v>0</v>
      </c>
      <c r="CV95" s="137">
        <f>'бюджет округа (района)'!AY95</f>
        <v>0</v>
      </c>
      <c r="CW95" s="137">
        <f t="shared" si="577"/>
        <v>0</v>
      </c>
      <c r="CX95" s="137">
        <f t="shared" si="577"/>
        <v>0</v>
      </c>
      <c r="CY95" s="135">
        <f t="shared" si="553"/>
        <v>1</v>
      </c>
      <c r="CZ95" s="135">
        <f t="shared" si="553"/>
        <v>1</v>
      </c>
      <c r="DA95" s="134">
        <f>'бюджет округа (района)'!BB95+'бюджеты поселений'!BB95</f>
        <v>0</v>
      </c>
      <c r="DB95" s="137">
        <f>'бюджет округа (района)'!BB95</f>
        <v>0</v>
      </c>
      <c r="DC95" s="137">
        <f t="shared" si="578"/>
        <v>0</v>
      </c>
      <c r="DD95" s="137">
        <f t="shared" si="578"/>
        <v>0</v>
      </c>
      <c r="DE95" s="135">
        <f t="shared" si="554"/>
        <v>1</v>
      </c>
      <c r="DF95" s="135">
        <f t="shared" si="554"/>
        <v>1</v>
      </c>
      <c r="DG95" s="134">
        <f>'бюджет округа (района)'!BE95+'бюджеты поселений'!BE95</f>
        <v>0</v>
      </c>
      <c r="DH95" s="137">
        <f>'бюджет округа (района)'!BE95</f>
        <v>0</v>
      </c>
      <c r="DI95" s="137">
        <f t="shared" si="579"/>
        <v>0</v>
      </c>
      <c r="DJ95" s="137">
        <f t="shared" si="579"/>
        <v>0</v>
      </c>
      <c r="DK95" s="135">
        <f t="shared" si="555"/>
        <v>1</v>
      </c>
      <c r="DL95" s="135">
        <f t="shared" si="555"/>
        <v>1</v>
      </c>
      <c r="DM95" s="134">
        <f>'бюджет округа (района)'!BH95+'бюджеты поселений'!BH95</f>
        <v>0</v>
      </c>
      <c r="DN95" s="137">
        <f>'бюджет округа (района)'!BH95</f>
        <v>0</v>
      </c>
      <c r="DO95" s="134">
        <f>'бюджет округа (района)'!BI95+'бюджеты поселений'!BI95</f>
        <v>0</v>
      </c>
      <c r="DP95" s="137">
        <f>'бюджет округа (района)'!BI95</f>
        <v>0</v>
      </c>
      <c r="DQ95" s="134">
        <f>'бюджет округа (района)'!BJ95+'бюджеты поселений'!BJ95</f>
        <v>0</v>
      </c>
      <c r="DR95" s="137">
        <f>'бюджет округа (района)'!BJ95</f>
        <v>0</v>
      </c>
      <c r="DS95" s="135">
        <f>IF($AY$95=0,1,DQ95/$AY$95-1)</f>
        <v>1</v>
      </c>
      <c r="DT95" s="135">
        <f>IF($AZ$95=0,1,DR95/$AZ$95-1)</f>
        <v>1</v>
      </c>
      <c r="DU95" s="135">
        <f t="shared" si="557"/>
        <v>1</v>
      </c>
      <c r="DV95" s="135">
        <f t="shared" si="558"/>
        <v>1</v>
      </c>
      <c r="DW95" s="167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30" t="s">
        <v>34</v>
      </c>
      <c r="B96" s="231"/>
      <c r="C96" s="134">
        <f>'бюджет округа (района)'!C96+'бюджеты поселений'!C96</f>
        <v>0</v>
      </c>
      <c r="D96" s="137">
        <f>'бюджет округа (района)'!C96</f>
        <v>0</v>
      </c>
      <c r="E96" s="134">
        <f t="shared" si="583"/>
        <v>0</v>
      </c>
      <c r="F96" s="137">
        <f t="shared" si="583"/>
        <v>0</v>
      </c>
      <c r="G96" s="134">
        <f>'бюджет округа (района)'!E96+'бюджеты поселений'!E96</f>
        <v>0</v>
      </c>
      <c r="H96" s="137">
        <f>'бюджет округа (района)'!E96</f>
        <v>0</v>
      </c>
      <c r="I96" s="134">
        <f>'бюджет округа (района)'!F96+'бюджеты поселений'!F96</f>
        <v>0</v>
      </c>
      <c r="J96" s="137">
        <f>'бюджет округа (района)'!F96</f>
        <v>0</v>
      </c>
      <c r="K96" s="137">
        <f t="shared" si="560"/>
        <v>0</v>
      </c>
      <c r="L96" s="137">
        <f t="shared" si="560"/>
        <v>0</v>
      </c>
      <c r="M96" s="134">
        <f>'бюджет округа (района)'!H96+'бюджеты поселений'!H96</f>
        <v>0</v>
      </c>
      <c r="N96" s="137">
        <f>'бюджет округа (района)'!H96</f>
        <v>0</v>
      </c>
      <c r="O96" s="137">
        <f t="shared" si="561"/>
        <v>0</v>
      </c>
      <c r="P96" s="137">
        <f t="shared" si="561"/>
        <v>0</v>
      </c>
      <c r="Q96" s="134">
        <f>'бюджет округа (района)'!J96+'бюджеты поселений'!J96</f>
        <v>0</v>
      </c>
      <c r="R96" s="137">
        <f>'бюджет округа (района)'!J96</f>
        <v>0</v>
      </c>
      <c r="S96" s="137">
        <f t="shared" si="562"/>
        <v>0</v>
      </c>
      <c r="T96" s="137">
        <f t="shared" si="562"/>
        <v>0</v>
      </c>
      <c r="U96" s="134">
        <f>'бюджет округа (района)'!L96+'бюджеты поселений'!L96</f>
        <v>0</v>
      </c>
      <c r="V96" s="137">
        <f>'бюджет округа (района)'!L96</f>
        <v>0</v>
      </c>
      <c r="W96" s="137">
        <f t="shared" si="563"/>
        <v>0</v>
      </c>
      <c r="X96" s="137">
        <f t="shared" si="563"/>
        <v>0</v>
      </c>
      <c r="Y96" s="134">
        <f>'бюджет округа (района)'!N96+'бюджеты поселений'!N96</f>
        <v>0</v>
      </c>
      <c r="Z96" s="137">
        <f>'бюджет округа (района)'!N96</f>
        <v>0</v>
      </c>
      <c r="AA96" s="137">
        <f t="shared" si="564"/>
        <v>0</v>
      </c>
      <c r="AB96" s="137">
        <f t="shared" si="564"/>
        <v>0</v>
      </c>
      <c r="AC96" s="134">
        <f>'бюджет округа (района)'!P96+'бюджеты поселений'!P96</f>
        <v>0</v>
      </c>
      <c r="AD96" s="137">
        <f>'бюджет округа (района)'!P96</f>
        <v>0</v>
      </c>
      <c r="AE96" s="137">
        <f t="shared" si="565"/>
        <v>0</v>
      </c>
      <c r="AF96" s="137">
        <f t="shared" si="565"/>
        <v>0</v>
      </c>
      <c r="AG96" s="134">
        <f>'бюджет округа (района)'!R96+'бюджеты поселений'!R96</f>
        <v>0</v>
      </c>
      <c r="AH96" s="137">
        <f>'бюджет округа (района)'!R96</f>
        <v>0</v>
      </c>
      <c r="AI96" s="137">
        <f t="shared" si="566"/>
        <v>0</v>
      </c>
      <c r="AJ96" s="137">
        <f t="shared" si="566"/>
        <v>0</v>
      </c>
      <c r="AK96" s="134">
        <f>'бюджет округа (района)'!T96+'бюджеты поселений'!T96</f>
        <v>0</v>
      </c>
      <c r="AL96" s="137">
        <f>'бюджет округа (района)'!T96</f>
        <v>0</v>
      </c>
      <c r="AM96" s="137">
        <f t="shared" si="567"/>
        <v>0</v>
      </c>
      <c r="AN96" s="137">
        <f t="shared" si="567"/>
        <v>0</v>
      </c>
      <c r="AO96" s="134">
        <f>'бюджет округа (района)'!V96+'бюджеты поселений'!V96</f>
        <v>0</v>
      </c>
      <c r="AP96" s="137">
        <f>'бюджет округа (района)'!V96</f>
        <v>0</v>
      </c>
      <c r="AQ96" s="137">
        <f t="shared" si="568"/>
        <v>0</v>
      </c>
      <c r="AR96" s="137">
        <f t="shared" si="568"/>
        <v>0</v>
      </c>
      <c r="AS96" s="134">
        <f>'бюджет округа (района)'!X96+'бюджеты поселений'!X96</f>
        <v>0</v>
      </c>
      <c r="AT96" s="137">
        <f>'бюджет округа (района)'!X96</f>
        <v>0</v>
      </c>
      <c r="AU96" s="137">
        <f t="shared" si="569"/>
        <v>0</v>
      </c>
      <c r="AV96" s="137">
        <f t="shared" si="569"/>
        <v>0</v>
      </c>
      <c r="AW96" s="134">
        <f>'бюджет округа (района)'!Z96+'бюджеты поселений'!Z96</f>
        <v>0</v>
      </c>
      <c r="AX96" s="137">
        <f>'бюджет округа (района)'!Z96</f>
        <v>0</v>
      </c>
      <c r="AY96" s="134">
        <f>'бюджет округа (района)'!AA96+'бюджеты поселений'!AA96</f>
        <v>0</v>
      </c>
      <c r="AZ96" s="137">
        <f>'бюджет округа (района)'!AA96</f>
        <v>0</v>
      </c>
      <c r="BA96" s="135">
        <f t="shared" si="581"/>
        <v>1</v>
      </c>
      <c r="BB96" s="135">
        <f t="shared" si="581"/>
        <v>1</v>
      </c>
      <c r="BC96" s="134">
        <f>'бюджет округа (района)'!AC96+'бюджеты поселений'!AC96</f>
        <v>0</v>
      </c>
      <c r="BD96" s="137">
        <f>'бюджет округа (района)'!AC96</f>
        <v>0</v>
      </c>
      <c r="BE96" s="134">
        <f>'бюджет округа (района)'!AD96+'бюджеты поселений'!AD96</f>
        <v>0</v>
      </c>
      <c r="BF96" s="137">
        <f>'бюджет округа (района)'!AD96</f>
        <v>0</v>
      </c>
      <c r="BG96" s="137">
        <f t="shared" si="570"/>
        <v>0</v>
      </c>
      <c r="BH96" s="137">
        <f t="shared" si="570"/>
        <v>0</v>
      </c>
      <c r="BI96" s="135">
        <f t="shared" si="546"/>
        <v>1</v>
      </c>
      <c r="BJ96" s="135">
        <f t="shared" si="546"/>
        <v>1</v>
      </c>
      <c r="BK96" s="134">
        <f>'бюджет округа (района)'!AG96+'бюджеты поселений'!AG96</f>
        <v>0</v>
      </c>
      <c r="BL96" s="137">
        <f>'бюджет округа (района)'!AG96</f>
        <v>0</v>
      </c>
      <c r="BM96" s="137">
        <f t="shared" si="571"/>
        <v>0</v>
      </c>
      <c r="BN96" s="137">
        <f t="shared" si="571"/>
        <v>0</v>
      </c>
      <c r="BO96" s="135">
        <f t="shared" si="547"/>
        <v>1</v>
      </c>
      <c r="BP96" s="135">
        <f t="shared" si="547"/>
        <v>1</v>
      </c>
      <c r="BQ96" s="134">
        <f>'бюджет округа (района)'!AJ96+'бюджеты поселений'!AJ96</f>
        <v>0</v>
      </c>
      <c r="BR96" s="137">
        <f>'бюджет округа (района)'!AJ96</f>
        <v>0</v>
      </c>
      <c r="BS96" s="137">
        <f t="shared" si="572"/>
        <v>0</v>
      </c>
      <c r="BT96" s="137">
        <f t="shared" si="572"/>
        <v>0</v>
      </c>
      <c r="BU96" s="135">
        <f t="shared" si="548"/>
        <v>1</v>
      </c>
      <c r="BV96" s="135">
        <f t="shared" si="548"/>
        <v>1</v>
      </c>
      <c r="BW96" s="134">
        <f>'бюджет округа (района)'!AM96+'бюджеты поселений'!AM96</f>
        <v>0</v>
      </c>
      <c r="BX96" s="137">
        <f>'бюджет округа (района)'!AM96</f>
        <v>0</v>
      </c>
      <c r="BY96" s="137">
        <f t="shared" si="573"/>
        <v>0</v>
      </c>
      <c r="BZ96" s="137">
        <f t="shared" si="573"/>
        <v>0</v>
      </c>
      <c r="CA96" s="135">
        <f t="shared" si="549"/>
        <v>1</v>
      </c>
      <c r="CB96" s="135">
        <f t="shared" si="549"/>
        <v>1</v>
      </c>
      <c r="CC96" s="134">
        <f>'бюджет округа (района)'!AP96+'бюджеты поселений'!AP96</f>
        <v>0</v>
      </c>
      <c r="CD96" s="137">
        <f>'бюджет округа (района)'!AP96</f>
        <v>0</v>
      </c>
      <c r="CE96" s="137">
        <f t="shared" si="574"/>
        <v>0</v>
      </c>
      <c r="CF96" s="137">
        <f t="shared" si="574"/>
        <v>0</v>
      </c>
      <c r="CG96" s="135">
        <f t="shared" si="550"/>
        <v>1</v>
      </c>
      <c r="CH96" s="135">
        <f t="shared" si="550"/>
        <v>1</v>
      </c>
      <c r="CI96" s="134">
        <f>'бюджет округа (района)'!AS96+'бюджеты поселений'!AS96</f>
        <v>0</v>
      </c>
      <c r="CJ96" s="137">
        <f>'бюджет округа (района)'!AS96</f>
        <v>0</v>
      </c>
      <c r="CK96" s="137">
        <f t="shared" si="575"/>
        <v>0</v>
      </c>
      <c r="CL96" s="137">
        <f t="shared" si="575"/>
        <v>0</v>
      </c>
      <c r="CM96" s="135">
        <f t="shared" si="551"/>
        <v>1</v>
      </c>
      <c r="CN96" s="135">
        <f t="shared" si="551"/>
        <v>1</v>
      </c>
      <c r="CO96" s="134">
        <f>'бюджет округа (района)'!AV96+'бюджеты поселений'!AV96</f>
        <v>0</v>
      </c>
      <c r="CP96" s="137">
        <f>'бюджет округа (района)'!AV96</f>
        <v>0</v>
      </c>
      <c r="CQ96" s="137">
        <f t="shared" si="576"/>
        <v>0</v>
      </c>
      <c r="CR96" s="137">
        <f t="shared" si="576"/>
        <v>0</v>
      </c>
      <c r="CS96" s="135">
        <f t="shared" si="552"/>
        <v>1</v>
      </c>
      <c r="CT96" s="135">
        <f t="shared" si="552"/>
        <v>1</v>
      </c>
      <c r="CU96" s="134">
        <f>'бюджет округа (района)'!AY96+'бюджеты поселений'!AY96</f>
        <v>0</v>
      </c>
      <c r="CV96" s="137">
        <f>'бюджет округа (района)'!AY96</f>
        <v>0</v>
      </c>
      <c r="CW96" s="137">
        <f t="shared" si="577"/>
        <v>0</v>
      </c>
      <c r="CX96" s="137">
        <f t="shared" si="577"/>
        <v>0</v>
      </c>
      <c r="CY96" s="135">
        <f t="shared" si="553"/>
        <v>1</v>
      </c>
      <c r="CZ96" s="135">
        <f t="shared" si="553"/>
        <v>1</v>
      </c>
      <c r="DA96" s="134">
        <f>'бюджет округа (района)'!BB96+'бюджеты поселений'!BB96</f>
        <v>0</v>
      </c>
      <c r="DB96" s="137">
        <f>'бюджет округа (района)'!BB96</f>
        <v>0</v>
      </c>
      <c r="DC96" s="137">
        <f t="shared" si="578"/>
        <v>0</v>
      </c>
      <c r="DD96" s="137">
        <f t="shared" si="578"/>
        <v>0</v>
      </c>
      <c r="DE96" s="135">
        <f t="shared" si="554"/>
        <v>1</v>
      </c>
      <c r="DF96" s="135">
        <f t="shared" si="554"/>
        <v>1</v>
      </c>
      <c r="DG96" s="134">
        <f>'бюджет округа (района)'!BE96+'бюджеты поселений'!BE96</f>
        <v>0</v>
      </c>
      <c r="DH96" s="137">
        <f>'бюджет округа (района)'!BE96</f>
        <v>0</v>
      </c>
      <c r="DI96" s="137">
        <f t="shared" si="579"/>
        <v>0</v>
      </c>
      <c r="DJ96" s="137">
        <f t="shared" si="579"/>
        <v>0</v>
      </c>
      <c r="DK96" s="135">
        <f t="shared" si="555"/>
        <v>1</v>
      </c>
      <c r="DL96" s="135">
        <f t="shared" si="555"/>
        <v>1</v>
      </c>
      <c r="DM96" s="134">
        <f>'бюджет округа (района)'!BH96+'бюджеты поселений'!BH96</f>
        <v>0</v>
      </c>
      <c r="DN96" s="137">
        <f>'бюджет округа (района)'!BH96</f>
        <v>0</v>
      </c>
      <c r="DO96" s="134">
        <f>'бюджет округа (района)'!BI96+'бюджеты поселений'!BI96</f>
        <v>0</v>
      </c>
      <c r="DP96" s="137">
        <f>'бюджет округа (района)'!BI96</f>
        <v>0</v>
      </c>
      <c r="DQ96" s="134">
        <f>'бюджет округа (района)'!BJ96+'бюджеты поселений'!BJ96</f>
        <v>0</v>
      </c>
      <c r="DR96" s="137">
        <f>'бюджет округа (района)'!BJ96</f>
        <v>0</v>
      </c>
      <c r="DS96" s="135">
        <f>IF($AY$96=0,1,DQ96/$AY$96-1)</f>
        <v>1</v>
      </c>
      <c r="DT96" s="135">
        <f>IF($AZ$96=0,1,DR96/$AZ$96-1)</f>
        <v>1</v>
      </c>
      <c r="DU96" s="135">
        <f t="shared" si="557"/>
        <v>1</v>
      </c>
      <c r="DV96" s="135">
        <f t="shared" si="558"/>
        <v>1</v>
      </c>
      <c r="DW96" s="167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customHeight="1">
      <c r="A97" s="230" t="s">
        <v>34</v>
      </c>
      <c r="B97" s="231"/>
      <c r="C97" s="134">
        <f>'бюджет округа (района)'!C97+'бюджеты поселений'!C97</f>
        <v>0</v>
      </c>
      <c r="D97" s="137">
        <f>'бюджет округа (района)'!C97</f>
        <v>0</v>
      </c>
      <c r="E97" s="134">
        <f t="shared" si="583"/>
        <v>0</v>
      </c>
      <c r="F97" s="137">
        <f t="shared" si="583"/>
        <v>0</v>
      </c>
      <c r="G97" s="134">
        <f>'бюджет округа (района)'!E97+'бюджеты поселений'!E97</f>
        <v>0</v>
      </c>
      <c r="H97" s="137">
        <f>'бюджет округа (района)'!E97</f>
        <v>0</v>
      </c>
      <c r="I97" s="134">
        <f>'бюджет округа (района)'!F97+'бюджеты поселений'!F97</f>
        <v>0</v>
      </c>
      <c r="J97" s="137">
        <f>'бюджет округа (района)'!F97</f>
        <v>0</v>
      </c>
      <c r="K97" s="137">
        <f t="shared" si="560"/>
        <v>0</v>
      </c>
      <c r="L97" s="137">
        <f t="shared" si="560"/>
        <v>0</v>
      </c>
      <c r="M97" s="134">
        <f>'бюджет округа (района)'!H97+'бюджеты поселений'!H97</f>
        <v>0</v>
      </c>
      <c r="N97" s="137">
        <f>'бюджет округа (района)'!H97</f>
        <v>0</v>
      </c>
      <c r="O97" s="137">
        <f t="shared" si="561"/>
        <v>0</v>
      </c>
      <c r="P97" s="137">
        <f t="shared" si="561"/>
        <v>0</v>
      </c>
      <c r="Q97" s="134">
        <f>'бюджет округа (района)'!J97+'бюджеты поселений'!J97</f>
        <v>0</v>
      </c>
      <c r="R97" s="137">
        <f>'бюджет округа (района)'!J97</f>
        <v>0</v>
      </c>
      <c r="S97" s="137">
        <f t="shared" si="562"/>
        <v>0</v>
      </c>
      <c r="T97" s="137">
        <f t="shared" si="562"/>
        <v>0</v>
      </c>
      <c r="U97" s="134">
        <f>'бюджет округа (района)'!L97+'бюджеты поселений'!L97</f>
        <v>0</v>
      </c>
      <c r="V97" s="137">
        <f>'бюджет округа (района)'!L97</f>
        <v>0</v>
      </c>
      <c r="W97" s="137">
        <f t="shared" si="563"/>
        <v>0</v>
      </c>
      <c r="X97" s="137">
        <f t="shared" si="563"/>
        <v>0</v>
      </c>
      <c r="Y97" s="134">
        <f>'бюджет округа (района)'!N97+'бюджеты поселений'!N97</f>
        <v>0</v>
      </c>
      <c r="Z97" s="137">
        <f>'бюджет округа (района)'!N97</f>
        <v>0</v>
      </c>
      <c r="AA97" s="137">
        <f t="shared" si="564"/>
        <v>0</v>
      </c>
      <c r="AB97" s="137">
        <f t="shared" si="564"/>
        <v>0</v>
      </c>
      <c r="AC97" s="134">
        <f>'бюджет округа (района)'!P97+'бюджеты поселений'!P97</f>
        <v>0</v>
      </c>
      <c r="AD97" s="137">
        <f>'бюджет округа (района)'!P97</f>
        <v>0</v>
      </c>
      <c r="AE97" s="137">
        <f t="shared" si="565"/>
        <v>0</v>
      </c>
      <c r="AF97" s="137">
        <f t="shared" si="565"/>
        <v>0</v>
      </c>
      <c r="AG97" s="134">
        <f>'бюджет округа (района)'!R97+'бюджеты поселений'!R97</f>
        <v>0</v>
      </c>
      <c r="AH97" s="137">
        <f>'бюджет округа (района)'!R97</f>
        <v>0</v>
      </c>
      <c r="AI97" s="137">
        <f t="shared" si="566"/>
        <v>0</v>
      </c>
      <c r="AJ97" s="137">
        <f t="shared" si="566"/>
        <v>0</v>
      </c>
      <c r="AK97" s="134">
        <f>'бюджет округа (района)'!T97+'бюджеты поселений'!T97</f>
        <v>0</v>
      </c>
      <c r="AL97" s="137">
        <f>'бюджет округа (района)'!T97</f>
        <v>0</v>
      </c>
      <c r="AM97" s="137">
        <f t="shared" si="567"/>
        <v>0</v>
      </c>
      <c r="AN97" s="137">
        <f t="shared" si="567"/>
        <v>0</v>
      </c>
      <c r="AO97" s="134">
        <f>'бюджет округа (района)'!V97+'бюджеты поселений'!V97</f>
        <v>0</v>
      </c>
      <c r="AP97" s="137">
        <f>'бюджет округа (района)'!V97</f>
        <v>0</v>
      </c>
      <c r="AQ97" s="137">
        <f t="shared" si="568"/>
        <v>0</v>
      </c>
      <c r="AR97" s="137">
        <f t="shared" si="568"/>
        <v>0</v>
      </c>
      <c r="AS97" s="134">
        <f>'бюджет округа (района)'!X97+'бюджеты поселений'!X97</f>
        <v>0</v>
      </c>
      <c r="AT97" s="137">
        <f>'бюджет округа (района)'!X97</f>
        <v>0</v>
      </c>
      <c r="AU97" s="137">
        <f t="shared" si="569"/>
        <v>0</v>
      </c>
      <c r="AV97" s="137">
        <f t="shared" si="569"/>
        <v>0</v>
      </c>
      <c r="AW97" s="134">
        <f>'бюджет округа (района)'!Z97+'бюджеты поселений'!Z97</f>
        <v>0</v>
      </c>
      <c r="AX97" s="137">
        <f>'бюджет округа (района)'!Z97</f>
        <v>0</v>
      </c>
      <c r="AY97" s="134">
        <f>'бюджет округа (района)'!AA97+'бюджеты поселений'!AA97</f>
        <v>0</v>
      </c>
      <c r="AZ97" s="137">
        <f>'бюджет округа (района)'!AA97</f>
        <v>0</v>
      </c>
      <c r="BA97" s="135">
        <f t="shared" si="581"/>
        <v>1</v>
      </c>
      <c r="BB97" s="135">
        <f t="shared" si="581"/>
        <v>1</v>
      </c>
      <c r="BC97" s="134">
        <f>'бюджет округа (района)'!AC97+'бюджеты поселений'!AC97</f>
        <v>0</v>
      </c>
      <c r="BD97" s="137">
        <f>'бюджет округа (района)'!AC97</f>
        <v>0</v>
      </c>
      <c r="BE97" s="134">
        <f>'бюджет округа (района)'!AD97+'бюджеты поселений'!AD97</f>
        <v>0</v>
      </c>
      <c r="BF97" s="137">
        <f>'бюджет округа (района)'!AD97</f>
        <v>0</v>
      </c>
      <c r="BG97" s="137">
        <f t="shared" si="570"/>
        <v>0</v>
      </c>
      <c r="BH97" s="137">
        <f t="shared" si="570"/>
        <v>0</v>
      </c>
      <c r="BI97" s="135">
        <f t="shared" si="546"/>
        <v>1</v>
      </c>
      <c r="BJ97" s="135">
        <f t="shared" si="546"/>
        <v>1</v>
      </c>
      <c r="BK97" s="134">
        <f>'бюджет округа (района)'!AG97+'бюджеты поселений'!AG97</f>
        <v>0</v>
      </c>
      <c r="BL97" s="137">
        <f>'бюджет округа (района)'!AG97</f>
        <v>0</v>
      </c>
      <c r="BM97" s="137">
        <f t="shared" si="571"/>
        <v>0</v>
      </c>
      <c r="BN97" s="137">
        <f t="shared" si="571"/>
        <v>0</v>
      </c>
      <c r="BO97" s="135">
        <f t="shared" si="547"/>
        <v>1</v>
      </c>
      <c r="BP97" s="135">
        <f t="shared" si="547"/>
        <v>1</v>
      </c>
      <c r="BQ97" s="134">
        <f>'бюджет округа (района)'!AJ97+'бюджеты поселений'!AJ97</f>
        <v>0</v>
      </c>
      <c r="BR97" s="137">
        <f>'бюджет округа (района)'!AJ97</f>
        <v>0</v>
      </c>
      <c r="BS97" s="137">
        <f t="shared" si="572"/>
        <v>0</v>
      </c>
      <c r="BT97" s="137">
        <f t="shared" si="572"/>
        <v>0</v>
      </c>
      <c r="BU97" s="135">
        <f t="shared" si="548"/>
        <v>1</v>
      </c>
      <c r="BV97" s="135">
        <f t="shared" si="548"/>
        <v>1</v>
      </c>
      <c r="BW97" s="134">
        <f>'бюджет округа (района)'!AM97+'бюджеты поселений'!AM97</f>
        <v>0</v>
      </c>
      <c r="BX97" s="137">
        <f>'бюджет округа (района)'!AM97</f>
        <v>0</v>
      </c>
      <c r="BY97" s="137">
        <f t="shared" si="573"/>
        <v>0</v>
      </c>
      <c r="BZ97" s="137">
        <f t="shared" si="573"/>
        <v>0</v>
      </c>
      <c r="CA97" s="135">
        <f t="shared" si="549"/>
        <v>1</v>
      </c>
      <c r="CB97" s="135">
        <f t="shared" si="549"/>
        <v>1</v>
      </c>
      <c r="CC97" s="134">
        <f>'бюджет округа (района)'!AP97+'бюджеты поселений'!AP97</f>
        <v>0</v>
      </c>
      <c r="CD97" s="137">
        <f>'бюджет округа (района)'!AP97</f>
        <v>0</v>
      </c>
      <c r="CE97" s="137">
        <f t="shared" si="574"/>
        <v>0</v>
      </c>
      <c r="CF97" s="137">
        <f t="shared" si="574"/>
        <v>0</v>
      </c>
      <c r="CG97" s="135">
        <f t="shared" si="550"/>
        <v>1</v>
      </c>
      <c r="CH97" s="135">
        <f t="shared" si="550"/>
        <v>1</v>
      </c>
      <c r="CI97" s="134">
        <f>'бюджет округа (района)'!AS97+'бюджеты поселений'!AS97</f>
        <v>0</v>
      </c>
      <c r="CJ97" s="137">
        <f>'бюджет округа (района)'!AS97</f>
        <v>0</v>
      </c>
      <c r="CK97" s="137">
        <f t="shared" si="575"/>
        <v>0</v>
      </c>
      <c r="CL97" s="137">
        <f t="shared" si="575"/>
        <v>0</v>
      </c>
      <c r="CM97" s="135">
        <f t="shared" si="551"/>
        <v>1</v>
      </c>
      <c r="CN97" s="135">
        <f t="shared" si="551"/>
        <v>1</v>
      </c>
      <c r="CO97" s="134">
        <f>'бюджет округа (района)'!AV97+'бюджеты поселений'!AV97</f>
        <v>0</v>
      </c>
      <c r="CP97" s="137">
        <f>'бюджет округа (района)'!AV97</f>
        <v>0</v>
      </c>
      <c r="CQ97" s="137">
        <f t="shared" si="576"/>
        <v>0</v>
      </c>
      <c r="CR97" s="137">
        <f t="shared" si="576"/>
        <v>0</v>
      </c>
      <c r="CS97" s="135">
        <f t="shared" si="552"/>
        <v>1</v>
      </c>
      <c r="CT97" s="135">
        <f t="shared" si="552"/>
        <v>1</v>
      </c>
      <c r="CU97" s="134">
        <f>'бюджет округа (района)'!AY97+'бюджеты поселений'!AY97</f>
        <v>0</v>
      </c>
      <c r="CV97" s="137">
        <f>'бюджет округа (района)'!AY97</f>
        <v>0</v>
      </c>
      <c r="CW97" s="137">
        <f t="shared" si="577"/>
        <v>0</v>
      </c>
      <c r="CX97" s="137">
        <f t="shared" si="577"/>
        <v>0</v>
      </c>
      <c r="CY97" s="135">
        <f t="shared" si="553"/>
        <v>1</v>
      </c>
      <c r="CZ97" s="135">
        <f t="shared" si="553"/>
        <v>1</v>
      </c>
      <c r="DA97" s="134">
        <f>'бюджет округа (района)'!BB97+'бюджеты поселений'!BB97</f>
        <v>0</v>
      </c>
      <c r="DB97" s="137">
        <f>'бюджет округа (района)'!BB97</f>
        <v>0</v>
      </c>
      <c r="DC97" s="137">
        <f t="shared" si="578"/>
        <v>0</v>
      </c>
      <c r="DD97" s="137">
        <f t="shared" si="578"/>
        <v>0</v>
      </c>
      <c r="DE97" s="135">
        <f t="shared" si="554"/>
        <v>1</v>
      </c>
      <c r="DF97" s="135">
        <f t="shared" si="554"/>
        <v>1</v>
      </c>
      <c r="DG97" s="134">
        <f>'бюджет округа (района)'!BE97+'бюджеты поселений'!BE97</f>
        <v>0</v>
      </c>
      <c r="DH97" s="137">
        <f>'бюджет округа (района)'!BE97</f>
        <v>0</v>
      </c>
      <c r="DI97" s="137">
        <f t="shared" si="579"/>
        <v>0</v>
      </c>
      <c r="DJ97" s="137">
        <f t="shared" si="579"/>
        <v>0</v>
      </c>
      <c r="DK97" s="135">
        <f t="shared" si="555"/>
        <v>1</v>
      </c>
      <c r="DL97" s="135">
        <f t="shared" si="555"/>
        <v>1</v>
      </c>
      <c r="DM97" s="134">
        <f>'бюджет округа (района)'!BH97+'бюджеты поселений'!BH97</f>
        <v>0</v>
      </c>
      <c r="DN97" s="137">
        <f>'бюджет округа (района)'!BH97</f>
        <v>0</v>
      </c>
      <c r="DO97" s="134">
        <f>'бюджет округа (района)'!BI97+'бюджеты поселений'!BI97</f>
        <v>0</v>
      </c>
      <c r="DP97" s="137">
        <f>'бюджет округа (района)'!BI97</f>
        <v>0</v>
      </c>
      <c r="DQ97" s="134">
        <f>'бюджет округа (района)'!BJ97+'бюджеты поселений'!BJ97</f>
        <v>0</v>
      </c>
      <c r="DR97" s="137">
        <f>'бюджет округа (района)'!BJ97</f>
        <v>0</v>
      </c>
      <c r="DS97" s="135">
        <f t="shared" ref="DS97:DS100" si="584">IF($AY$96=0,1,DQ97/$AY$96-1)</f>
        <v>1</v>
      </c>
      <c r="DT97" s="135">
        <f t="shared" ref="DT97:DT100" si="585">IF($AZ$96=0,1,DR97/$AZ$96-1)</f>
        <v>1</v>
      </c>
      <c r="DU97" s="135">
        <f t="shared" si="557"/>
        <v>1</v>
      </c>
      <c r="DV97" s="135">
        <f t="shared" si="558"/>
        <v>1</v>
      </c>
      <c r="DW97" s="167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customHeight="1">
      <c r="A98" s="230" t="s">
        <v>34</v>
      </c>
      <c r="B98" s="231"/>
      <c r="C98" s="134">
        <f>'бюджет округа (района)'!C98+'бюджеты поселений'!C98</f>
        <v>0</v>
      </c>
      <c r="D98" s="137">
        <f>'бюджет округа (района)'!C98</f>
        <v>0</v>
      </c>
      <c r="E98" s="134">
        <f t="shared" si="583"/>
        <v>0</v>
      </c>
      <c r="F98" s="137">
        <f t="shared" si="583"/>
        <v>0</v>
      </c>
      <c r="G98" s="134">
        <f>'бюджет округа (района)'!E98+'бюджеты поселений'!E98</f>
        <v>0</v>
      </c>
      <c r="H98" s="137">
        <f>'бюджет округа (района)'!E98</f>
        <v>0</v>
      </c>
      <c r="I98" s="134">
        <f>'бюджет округа (района)'!F98+'бюджеты поселений'!F98</f>
        <v>0</v>
      </c>
      <c r="J98" s="137">
        <f>'бюджет округа (района)'!F98</f>
        <v>0</v>
      </c>
      <c r="K98" s="137">
        <f t="shared" si="560"/>
        <v>0</v>
      </c>
      <c r="L98" s="137">
        <f t="shared" si="560"/>
        <v>0</v>
      </c>
      <c r="M98" s="134">
        <f>'бюджет округа (района)'!H98+'бюджеты поселений'!H98</f>
        <v>0</v>
      </c>
      <c r="N98" s="137">
        <f>'бюджет округа (района)'!H98</f>
        <v>0</v>
      </c>
      <c r="O98" s="137">
        <f t="shared" si="561"/>
        <v>0</v>
      </c>
      <c r="P98" s="137">
        <f t="shared" si="561"/>
        <v>0</v>
      </c>
      <c r="Q98" s="134">
        <f>'бюджет округа (района)'!J98+'бюджеты поселений'!J98</f>
        <v>0</v>
      </c>
      <c r="R98" s="137">
        <f>'бюджет округа (района)'!J98</f>
        <v>0</v>
      </c>
      <c r="S98" s="137">
        <f t="shared" si="562"/>
        <v>0</v>
      </c>
      <c r="T98" s="137">
        <f t="shared" si="562"/>
        <v>0</v>
      </c>
      <c r="U98" s="134">
        <f>'бюджет округа (района)'!L98+'бюджеты поселений'!L98</f>
        <v>0</v>
      </c>
      <c r="V98" s="137">
        <f>'бюджет округа (района)'!L98</f>
        <v>0</v>
      </c>
      <c r="W98" s="137">
        <f t="shared" si="563"/>
        <v>0</v>
      </c>
      <c r="X98" s="137">
        <f t="shared" si="563"/>
        <v>0</v>
      </c>
      <c r="Y98" s="134">
        <f>'бюджет округа (района)'!N98+'бюджеты поселений'!N98</f>
        <v>0</v>
      </c>
      <c r="Z98" s="137">
        <f>'бюджет округа (района)'!N98</f>
        <v>0</v>
      </c>
      <c r="AA98" s="137">
        <f t="shared" si="564"/>
        <v>0</v>
      </c>
      <c r="AB98" s="137">
        <f t="shared" si="564"/>
        <v>0</v>
      </c>
      <c r="AC98" s="134">
        <f>'бюджет округа (района)'!P98+'бюджеты поселений'!P98</f>
        <v>0</v>
      </c>
      <c r="AD98" s="137">
        <f>'бюджет округа (района)'!P98</f>
        <v>0</v>
      </c>
      <c r="AE98" s="137">
        <f t="shared" si="565"/>
        <v>0</v>
      </c>
      <c r="AF98" s="137">
        <f t="shared" si="565"/>
        <v>0</v>
      </c>
      <c r="AG98" s="134">
        <f>'бюджет округа (района)'!R98+'бюджеты поселений'!R98</f>
        <v>0</v>
      </c>
      <c r="AH98" s="137">
        <f>'бюджет округа (района)'!R98</f>
        <v>0</v>
      </c>
      <c r="AI98" s="137">
        <f t="shared" si="566"/>
        <v>0</v>
      </c>
      <c r="AJ98" s="137">
        <f t="shared" si="566"/>
        <v>0</v>
      </c>
      <c r="AK98" s="134">
        <f>'бюджет округа (района)'!T98+'бюджеты поселений'!T98</f>
        <v>0</v>
      </c>
      <c r="AL98" s="137">
        <f>'бюджет округа (района)'!T98</f>
        <v>0</v>
      </c>
      <c r="AM98" s="137">
        <f t="shared" si="567"/>
        <v>0</v>
      </c>
      <c r="AN98" s="137">
        <f t="shared" si="567"/>
        <v>0</v>
      </c>
      <c r="AO98" s="134">
        <f>'бюджет округа (района)'!V98+'бюджеты поселений'!V98</f>
        <v>0</v>
      </c>
      <c r="AP98" s="137">
        <f>'бюджет округа (района)'!V98</f>
        <v>0</v>
      </c>
      <c r="AQ98" s="137">
        <f t="shared" si="568"/>
        <v>0</v>
      </c>
      <c r="AR98" s="137">
        <f t="shared" si="568"/>
        <v>0</v>
      </c>
      <c r="AS98" s="134">
        <f>'бюджет округа (района)'!X98+'бюджеты поселений'!X98</f>
        <v>0</v>
      </c>
      <c r="AT98" s="137">
        <f>'бюджет округа (района)'!X98</f>
        <v>0</v>
      </c>
      <c r="AU98" s="137">
        <f t="shared" si="569"/>
        <v>0</v>
      </c>
      <c r="AV98" s="137">
        <f t="shared" si="569"/>
        <v>0</v>
      </c>
      <c r="AW98" s="134">
        <f>'бюджет округа (района)'!Z98+'бюджеты поселений'!Z98</f>
        <v>0</v>
      </c>
      <c r="AX98" s="137">
        <f>'бюджет округа (района)'!Z98</f>
        <v>0</v>
      </c>
      <c r="AY98" s="134">
        <f>'бюджет округа (района)'!AA98+'бюджеты поселений'!AA98</f>
        <v>0</v>
      </c>
      <c r="AZ98" s="137">
        <f>'бюджет округа (района)'!AA98</f>
        <v>0</v>
      </c>
      <c r="BA98" s="135">
        <f t="shared" si="581"/>
        <v>1</v>
      </c>
      <c r="BB98" s="135">
        <f t="shared" si="581"/>
        <v>1</v>
      </c>
      <c r="BC98" s="134">
        <f>'бюджет округа (района)'!AC98+'бюджеты поселений'!AC98</f>
        <v>0</v>
      </c>
      <c r="BD98" s="137">
        <f>'бюджет округа (района)'!AC98</f>
        <v>0</v>
      </c>
      <c r="BE98" s="134">
        <f>'бюджет округа (района)'!AD98+'бюджеты поселений'!AD98</f>
        <v>0</v>
      </c>
      <c r="BF98" s="137">
        <f>'бюджет округа (района)'!AD98</f>
        <v>0</v>
      </c>
      <c r="BG98" s="137">
        <f t="shared" si="570"/>
        <v>0</v>
      </c>
      <c r="BH98" s="137">
        <f t="shared" si="570"/>
        <v>0</v>
      </c>
      <c r="BI98" s="135">
        <f t="shared" si="546"/>
        <v>1</v>
      </c>
      <c r="BJ98" s="135">
        <f t="shared" si="546"/>
        <v>1</v>
      </c>
      <c r="BK98" s="134">
        <f>'бюджет округа (района)'!AG98+'бюджеты поселений'!AG98</f>
        <v>0</v>
      </c>
      <c r="BL98" s="137">
        <f>'бюджет округа (района)'!AG98</f>
        <v>0</v>
      </c>
      <c r="BM98" s="137">
        <f t="shared" si="571"/>
        <v>0</v>
      </c>
      <c r="BN98" s="137">
        <f t="shared" si="571"/>
        <v>0</v>
      </c>
      <c r="BO98" s="135">
        <f t="shared" si="547"/>
        <v>1</v>
      </c>
      <c r="BP98" s="135">
        <f t="shared" si="547"/>
        <v>1</v>
      </c>
      <c r="BQ98" s="134">
        <f>'бюджет округа (района)'!AJ98+'бюджеты поселений'!AJ98</f>
        <v>0</v>
      </c>
      <c r="BR98" s="137">
        <f>'бюджет округа (района)'!AJ98</f>
        <v>0</v>
      </c>
      <c r="BS98" s="137">
        <f t="shared" si="572"/>
        <v>0</v>
      </c>
      <c r="BT98" s="137">
        <f t="shared" si="572"/>
        <v>0</v>
      </c>
      <c r="BU98" s="135">
        <f t="shared" si="548"/>
        <v>1</v>
      </c>
      <c r="BV98" s="135">
        <f t="shared" si="548"/>
        <v>1</v>
      </c>
      <c r="BW98" s="134">
        <f>'бюджет округа (района)'!AM98+'бюджеты поселений'!AM98</f>
        <v>0</v>
      </c>
      <c r="BX98" s="137">
        <f>'бюджет округа (района)'!AM98</f>
        <v>0</v>
      </c>
      <c r="BY98" s="137">
        <f t="shared" si="573"/>
        <v>0</v>
      </c>
      <c r="BZ98" s="137">
        <f t="shared" si="573"/>
        <v>0</v>
      </c>
      <c r="CA98" s="135">
        <f t="shared" si="549"/>
        <v>1</v>
      </c>
      <c r="CB98" s="135">
        <f t="shared" si="549"/>
        <v>1</v>
      </c>
      <c r="CC98" s="134">
        <f>'бюджет округа (района)'!AP98+'бюджеты поселений'!AP98</f>
        <v>0</v>
      </c>
      <c r="CD98" s="137">
        <f>'бюджет округа (района)'!AP98</f>
        <v>0</v>
      </c>
      <c r="CE98" s="137">
        <f t="shared" si="574"/>
        <v>0</v>
      </c>
      <c r="CF98" s="137">
        <f t="shared" si="574"/>
        <v>0</v>
      </c>
      <c r="CG98" s="135">
        <f t="shared" si="550"/>
        <v>1</v>
      </c>
      <c r="CH98" s="135">
        <f t="shared" si="550"/>
        <v>1</v>
      </c>
      <c r="CI98" s="134">
        <f>'бюджет округа (района)'!AS98+'бюджеты поселений'!AS98</f>
        <v>0</v>
      </c>
      <c r="CJ98" s="137">
        <f>'бюджет округа (района)'!AS98</f>
        <v>0</v>
      </c>
      <c r="CK98" s="137">
        <f t="shared" si="575"/>
        <v>0</v>
      </c>
      <c r="CL98" s="137">
        <f t="shared" si="575"/>
        <v>0</v>
      </c>
      <c r="CM98" s="135">
        <f t="shared" si="551"/>
        <v>1</v>
      </c>
      <c r="CN98" s="135">
        <f t="shared" si="551"/>
        <v>1</v>
      </c>
      <c r="CO98" s="134">
        <f>'бюджет округа (района)'!AV98+'бюджеты поселений'!AV98</f>
        <v>0</v>
      </c>
      <c r="CP98" s="137">
        <f>'бюджет округа (района)'!AV98</f>
        <v>0</v>
      </c>
      <c r="CQ98" s="137">
        <f t="shared" si="576"/>
        <v>0</v>
      </c>
      <c r="CR98" s="137">
        <f t="shared" si="576"/>
        <v>0</v>
      </c>
      <c r="CS98" s="135">
        <f t="shared" si="552"/>
        <v>1</v>
      </c>
      <c r="CT98" s="135">
        <f t="shared" si="552"/>
        <v>1</v>
      </c>
      <c r="CU98" s="134">
        <f>'бюджет округа (района)'!AY98+'бюджеты поселений'!AY98</f>
        <v>0</v>
      </c>
      <c r="CV98" s="137">
        <f>'бюджет округа (района)'!AY98</f>
        <v>0</v>
      </c>
      <c r="CW98" s="137">
        <f t="shared" si="577"/>
        <v>0</v>
      </c>
      <c r="CX98" s="137">
        <f t="shared" si="577"/>
        <v>0</v>
      </c>
      <c r="CY98" s="135">
        <f t="shared" si="553"/>
        <v>1</v>
      </c>
      <c r="CZ98" s="135">
        <f t="shared" si="553"/>
        <v>1</v>
      </c>
      <c r="DA98" s="134">
        <f>'бюджет округа (района)'!BB98+'бюджеты поселений'!BB98</f>
        <v>0</v>
      </c>
      <c r="DB98" s="137">
        <f>'бюджет округа (района)'!BB98</f>
        <v>0</v>
      </c>
      <c r="DC98" s="137">
        <f t="shared" si="578"/>
        <v>0</v>
      </c>
      <c r="DD98" s="137">
        <f t="shared" si="578"/>
        <v>0</v>
      </c>
      <c r="DE98" s="135">
        <f t="shared" si="554"/>
        <v>1</v>
      </c>
      <c r="DF98" s="135">
        <f t="shared" si="554"/>
        <v>1</v>
      </c>
      <c r="DG98" s="134">
        <f>'бюджет округа (района)'!BE98+'бюджеты поселений'!BE98</f>
        <v>0</v>
      </c>
      <c r="DH98" s="137">
        <f>'бюджет округа (района)'!BE98</f>
        <v>0</v>
      </c>
      <c r="DI98" s="137">
        <f t="shared" si="579"/>
        <v>0</v>
      </c>
      <c r="DJ98" s="137">
        <f t="shared" si="579"/>
        <v>0</v>
      </c>
      <c r="DK98" s="135">
        <f t="shared" si="555"/>
        <v>1</v>
      </c>
      <c r="DL98" s="135">
        <f t="shared" si="555"/>
        <v>1</v>
      </c>
      <c r="DM98" s="134">
        <f>'бюджет округа (района)'!BH98+'бюджеты поселений'!BH98</f>
        <v>0</v>
      </c>
      <c r="DN98" s="137">
        <f>'бюджет округа (района)'!BH98</f>
        <v>0</v>
      </c>
      <c r="DO98" s="134">
        <f>'бюджет округа (района)'!BI98+'бюджеты поселений'!BI98</f>
        <v>0</v>
      </c>
      <c r="DP98" s="137">
        <f>'бюджет округа (района)'!BI98</f>
        <v>0</v>
      </c>
      <c r="DQ98" s="134">
        <f>'бюджет округа (района)'!BJ98+'бюджеты поселений'!BJ98</f>
        <v>0</v>
      </c>
      <c r="DR98" s="137">
        <f>'бюджет округа (района)'!BJ98</f>
        <v>0</v>
      </c>
      <c r="DS98" s="135">
        <f t="shared" si="584"/>
        <v>1</v>
      </c>
      <c r="DT98" s="135">
        <f t="shared" si="585"/>
        <v>1</v>
      </c>
      <c r="DU98" s="135">
        <f t="shared" si="557"/>
        <v>1</v>
      </c>
      <c r="DV98" s="135">
        <f t="shared" si="558"/>
        <v>1</v>
      </c>
      <c r="DW98" s="167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customHeight="1">
      <c r="A99" s="230" t="s">
        <v>34</v>
      </c>
      <c r="B99" s="231"/>
      <c r="C99" s="134">
        <f>'бюджет округа (района)'!C99+'бюджеты поселений'!C99</f>
        <v>0</v>
      </c>
      <c r="D99" s="137">
        <f>'бюджет округа (района)'!C99</f>
        <v>0</v>
      </c>
      <c r="E99" s="134">
        <f t="shared" si="583"/>
        <v>0</v>
      </c>
      <c r="F99" s="137">
        <f t="shared" si="583"/>
        <v>0</v>
      </c>
      <c r="G99" s="134">
        <f>'бюджет округа (района)'!E99+'бюджеты поселений'!E99</f>
        <v>0</v>
      </c>
      <c r="H99" s="137">
        <f>'бюджет округа (района)'!E99</f>
        <v>0</v>
      </c>
      <c r="I99" s="134">
        <f>'бюджет округа (района)'!F99+'бюджеты поселений'!F99</f>
        <v>0</v>
      </c>
      <c r="J99" s="137">
        <f>'бюджет округа (района)'!F99</f>
        <v>0</v>
      </c>
      <c r="K99" s="137">
        <f t="shared" si="560"/>
        <v>0</v>
      </c>
      <c r="L99" s="137">
        <f t="shared" si="560"/>
        <v>0</v>
      </c>
      <c r="M99" s="134">
        <f>'бюджет округа (района)'!H99+'бюджеты поселений'!H99</f>
        <v>0</v>
      </c>
      <c r="N99" s="137">
        <f>'бюджет округа (района)'!H99</f>
        <v>0</v>
      </c>
      <c r="O99" s="137">
        <f t="shared" si="561"/>
        <v>0</v>
      </c>
      <c r="P99" s="137">
        <f t="shared" si="561"/>
        <v>0</v>
      </c>
      <c r="Q99" s="134">
        <f>'бюджет округа (района)'!J99+'бюджеты поселений'!J99</f>
        <v>0</v>
      </c>
      <c r="R99" s="137">
        <f>'бюджет округа (района)'!J99</f>
        <v>0</v>
      </c>
      <c r="S99" s="137">
        <f t="shared" si="562"/>
        <v>0</v>
      </c>
      <c r="T99" s="137">
        <f t="shared" si="562"/>
        <v>0</v>
      </c>
      <c r="U99" s="134">
        <f>'бюджет округа (района)'!L99+'бюджеты поселений'!L99</f>
        <v>0</v>
      </c>
      <c r="V99" s="137">
        <f>'бюджет округа (района)'!L99</f>
        <v>0</v>
      </c>
      <c r="W99" s="137">
        <f t="shared" si="563"/>
        <v>0</v>
      </c>
      <c r="X99" s="137">
        <f t="shared" si="563"/>
        <v>0</v>
      </c>
      <c r="Y99" s="134">
        <f>'бюджет округа (района)'!N99+'бюджеты поселений'!N99</f>
        <v>0</v>
      </c>
      <c r="Z99" s="137">
        <f>'бюджет округа (района)'!N99</f>
        <v>0</v>
      </c>
      <c r="AA99" s="137">
        <f t="shared" si="564"/>
        <v>0</v>
      </c>
      <c r="AB99" s="137">
        <f t="shared" si="564"/>
        <v>0</v>
      </c>
      <c r="AC99" s="134">
        <f>'бюджет округа (района)'!P99+'бюджеты поселений'!P99</f>
        <v>0</v>
      </c>
      <c r="AD99" s="137">
        <f>'бюджет округа (района)'!P99</f>
        <v>0</v>
      </c>
      <c r="AE99" s="137">
        <f t="shared" si="565"/>
        <v>0</v>
      </c>
      <c r="AF99" s="137">
        <f t="shared" si="565"/>
        <v>0</v>
      </c>
      <c r="AG99" s="134">
        <f>'бюджет округа (района)'!R99+'бюджеты поселений'!R99</f>
        <v>0</v>
      </c>
      <c r="AH99" s="137">
        <f>'бюджет округа (района)'!R99</f>
        <v>0</v>
      </c>
      <c r="AI99" s="137">
        <f t="shared" si="566"/>
        <v>0</v>
      </c>
      <c r="AJ99" s="137">
        <f t="shared" si="566"/>
        <v>0</v>
      </c>
      <c r="AK99" s="134">
        <f>'бюджет округа (района)'!T99+'бюджеты поселений'!T99</f>
        <v>0</v>
      </c>
      <c r="AL99" s="137">
        <f>'бюджет округа (района)'!T99</f>
        <v>0</v>
      </c>
      <c r="AM99" s="137">
        <f t="shared" si="567"/>
        <v>0</v>
      </c>
      <c r="AN99" s="137">
        <f t="shared" si="567"/>
        <v>0</v>
      </c>
      <c r="AO99" s="134">
        <f>'бюджет округа (района)'!V99+'бюджеты поселений'!V99</f>
        <v>0</v>
      </c>
      <c r="AP99" s="137">
        <f>'бюджет округа (района)'!V99</f>
        <v>0</v>
      </c>
      <c r="AQ99" s="137">
        <f t="shared" si="568"/>
        <v>0</v>
      </c>
      <c r="AR99" s="137">
        <f t="shared" si="568"/>
        <v>0</v>
      </c>
      <c r="AS99" s="134">
        <f>'бюджет округа (района)'!X99+'бюджеты поселений'!X99</f>
        <v>0</v>
      </c>
      <c r="AT99" s="137">
        <f>'бюджет округа (района)'!X99</f>
        <v>0</v>
      </c>
      <c r="AU99" s="137">
        <f t="shared" si="569"/>
        <v>0</v>
      </c>
      <c r="AV99" s="137">
        <f t="shared" si="569"/>
        <v>0</v>
      </c>
      <c r="AW99" s="134">
        <f>'бюджет округа (района)'!Z99+'бюджеты поселений'!Z99</f>
        <v>0</v>
      </c>
      <c r="AX99" s="137">
        <f>'бюджет округа (района)'!Z99</f>
        <v>0</v>
      </c>
      <c r="AY99" s="134">
        <f>'бюджет округа (района)'!AA99+'бюджеты поселений'!AA99</f>
        <v>0</v>
      </c>
      <c r="AZ99" s="137">
        <f>'бюджет округа (района)'!AA99</f>
        <v>0</v>
      </c>
      <c r="BA99" s="135">
        <f t="shared" si="581"/>
        <v>1</v>
      </c>
      <c r="BB99" s="135">
        <f t="shared" si="581"/>
        <v>1</v>
      </c>
      <c r="BC99" s="134">
        <f>'бюджет округа (района)'!AC99+'бюджеты поселений'!AC99</f>
        <v>0</v>
      </c>
      <c r="BD99" s="137">
        <f>'бюджет округа (района)'!AC99</f>
        <v>0</v>
      </c>
      <c r="BE99" s="134">
        <f>'бюджет округа (района)'!AD99+'бюджеты поселений'!AD99</f>
        <v>0</v>
      </c>
      <c r="BF99" s="137">
        <f>'бюджет округа (района)'!AD99</f>
        <v>0</v>
      </c>
      <c r="BG99" s="137">
        <f t="shared" si="570"/>
        <v>0</v>
      </c>
      <c r="BH99" s="137">
        <f t="shared" si="570"/>
        <v>0</v>
      </c>
      <c r="BI99" s="135">
        <f t="shared" si="546"/>
        <v>1</v>
      </c>
      <c r="BJ99" s="135">
        <f t="shared" si="546"/>
        <v>1</v>
      </c>
      <c r="BK99" s="134">
        <f>'бюджет округа (района)'!AG99+'бюджеты поселений'!AG99</f>
        <v>0</v>
      </c>
      <c r="BL99" s="137">
        <f>'бюджет округа (района)'!AG99</f>
        <v>0</v>
      </c>
      <c r="BM99" s="137">
        <f t="shared" si="571"/>
        <v>0</v>
      </c>
      <c r="BN99" s="137">
        <f t="shared" si="571"/>
        <v>0</v>
      </c>
      <c r="BO99" s="135">
        <f t="shared" si="547"/>
        <v>1</v>
      </c>
      <c r="BP99" s="135">
        <f t="shared" si="547"/>
        <v>1</v>
      </c>
      <c r="BQ99" s="134">
        <f>'бюджет округа (района)'!AJ99+'бюджеты поселений'!AJ99</f>
        <v>0</v>
      </c>
      <c r="BR99" s="137">
        <f>'бюджет округа (района)'!AJ99</f>
        <v>0</v>
      </c>
      <c r="BS99" s="137">
        <f t="shared" si="572"/>
        <v>0</v>
      </c>
      <c r="BT99" s="137">
        <f t="shared" si="572"/>
        <v>0</v>
      </c>
      <c r="BU99" s="135">
        <f t="shared" si="548"/>
        <v>1</v>
      </c>
      <c r="BV99" s="135">
        <f t="shared" si="548"/>
        <v>1</v>
      </c>
      <c r="BW99" s="134">
        <f>'бюджет округа (района)'!AM99+'бюджеты поселений'!AM99</f>
        <v>0</v>
      </c>
      <c r="BX99" s="137">
        <f>'бюджет округа (района)'!AM99</f>
        <v>0</v>
      </c>
      <c r="BY99" s="137">
        <f t="shared" si="573"/>
        <v>0</v>
      </c>
      <c r="BZ99" s="137">
        <f t="shared" si="573"/>
        <v>0</v>
      </c>
      <c r="CA99" s="135">
        <f t="shared" si="549"/>
        <v>1</v>
      </c>
      <c r="CB99" s="135">
        <f t="shared" si="549"/>
        <v>1</v>
      </c>
      <c r="CC99" s="134">
        <f>'бюджет округа (района)'!AP99+'бюджеты поселений'!AP99</f>
        <v>0</v>
      </c>
      <c r="CD99" s="137">
        <f>'бюджет округа (района)'!AP99</f>
        <v>0</v>
      </c>
      <c r="CE99" s="137">
        <f t="shared" si="574"/>
        <v>0</v>
      </c>
      <c r="CF99" s="137">
        <f t="shared" si="574"/>
        <v>0</v>
      </c>
      <c r="CG99" s="135">
        <f t="shared" si="550"/>
        <v>1</v>
      </c>
      <c r="CH99" s="135">
        <f t="shared" si="550"/>
        <v>1</v>
      </c>
      <c r="CI99" s="134">
        <f>'бюджет округа (района)'!AS99+'бюджеты поселений'!AS99</f>
        <v>0</v>
      </c>
      <c r="CJ99" s="137">
        <f>'бюджет округа (района)'!AS99</f>
        <v>0</v>
      </c>
      <c r="CK99" s="137">
        <f t="shared" si="575"/>
        <v>0</v>
      </c>
      <c r="CL99" s="137">
        <f t="shared" si="575"/>
        <v>0</v>
      </c>
      <c r="CM99" s="135">
        <f t="shared" si="551"/>
        <v>1</v>
      </c>
      <c r="CN99" s="135">
        <f t="shared" si="551"/>
        <v>1</v>
      </c>
      <c r="CO99" s="134">
        <f>'бюджет округа (района)'!AV99+'бюджеты поселений'!AV99</f>
        <v>0</v>
      </c>
      <c r="CP99" s="137">
        <f>'бюджет округа (района)'!AV99</f>
        <v>0</v>
      </c>
      <c r="CQ99" s="137">
        <f t="shared" si="576"/>
        <v>0</v>
      </c>
      <c r="CR99" s="137">
        <f t="shared" si="576"/>
        <v>0</v>
      </c>
      <c r="CS99" s="135">
        <f t="shared" si="552"/>
        <v>1</v>
      </c>
      <c r="CT99" s="135">
        <f t="shared" si="552"/>
        <v>1</v>
      </c>
      <c r="CU99" s="134">
        <f>'бюджет округа (района)'!AY99+'бюджеты поселений'!AY99</f>
        <v>0</v>
      </c>
      <c r="CV99" s="137">
        <f>'бюджет округа (района)'!AY99</f>
        <v>0</v>
      </c>
      <c r="CW99" s="137">
        <f t="shared" si="577"/>
        <v>0</v>
      </c>
      <c r="CX99" s="137">
        <f t="shared" si="577"/>
        <v>0</v>
      </c>
      <c r="CY99" s="135">
        <f t="shared" si="553"/>
        <v>1</v>
      </c>
      <c r="CZ99" s="135">
        <f t="shared" si="553"/>
        <v>1</v>
      </c>
      <c r="DA99" s="134">
        <f>'бюджет округа (района)'!BB99+'бюджеты поселений'!BB99</f>
        <v>0</v>
      </c>
      <c r="DB99" s="137">
        <f>'бюджет округа (района)'!BB99</f>
        <v>0</v>
      </c>
      <c r="DC99" s="137">
        <f t="shared" si="578"/>
        <v>0</v>
      </c>
      <c r="DD99" s="137">
        <f t="shared" si="578"/>
        <v>0</v>
      </c>
      <c r="DE99" s="135">
        <f t="shared" si="554"/>
        <v>1</v>
      </c>
      <c r="DF99" s="135">
        <f t="shared" si="554"/>
        <v>1</v>
      </c>
      <c r="DG99" s="134">
        <f>'бюджет округа (района)'!BE99+'бюджеты поселений'!BE99</f>
        <v>0</v>
      </c>
      <c r="DH99" s="137">
        <f>'бюджет округа (района)'!BE99</f>
        <v>0</v>
      </c>
      <c r="DI99" s="137">
        <f t="shared" si="579"/>
        <v>0</v>
      </c>
      <c r="DJ99" s="137">
        <f t="shared" si="579"/>
        <v>0</v>
      </c>
      <c r="DK99" s="135">
        <f t="shared" si="555"/>
        <v>1</v>
      </c>
      <c r="DL99" s="135">
        <f t="shared" si="555"/>
        <v>1</v>
      </c>
      <c r="DM99" s="134">
        <f>'бюджет округа (района)'!BH99+'бюджеты поселений'!BH99</f>
        <v>0</v>
      </c>
      <c r="DN99" s="137">
        <f>'бюджет округа (района)'!BH99</f>
        <v>0</v>
      </c>
      <c r="DO99" s="134">
        <f>'бюджет округа (района)'!BI99+'бюджеты поселений'!BI99</f>
        <v>0</v>
      </c>
      <c r="DP99" s="137">
        <f>'бюджет округа (района)'!BI99</f>
        <v>0</v>
      </c>
      <c r="DQ99" s="134">
        <f>'бюджет округа (района)'!BJ99+'бюджеты поселений'!BJ99</f>
        <v>0</v>
      </c>
      <c r="DR99" s="137">
        <f>'бюджет округа (района)'!BJ99</f>
        <v>0</v>
      </c>
      <c r="DS99" s="135">
        <f t="shared" si="584"/>
        <v>1</v>
      </c>
      <c r="DT99" s="135">
        <f t="shared" si="585"/>
        <v>1</v>
      </c>
      <c r="DU99" s="135">
        <f t="shared" si="557"/>
        <v>1</v>
      </c>
      <c r="DV99" s="135">
        <f t="shared" si="558"/>
        <v>1</v>
      </c>
      <c r="DW99" s="167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>
      <c r="A100" s="230" t="s">
        <v>34</v>
      </c>
      <c r="B100" s="231"/>
      <c r="C100" s="134">
        <f>'бюджет округа (района)'!C100+'бюджеты поселений'!C100</f>
        <v>0</v>
      </c>
      <c r="D100" s="137">
        <f>'бюджет округа (района)'!C100</f>
        <v>0</v>
      </c>
      <c r="E100" s="134">
        <f t="shared" si="583"/>
        <v>0</v>
      </c>
      <c r="F100" s="137">
        <f t="shared" si="583"/>
        <v>0</v>
      </c>
      <c r="G100" s="134">
        <f>'бюджет округа (района)'!E100+'бюджеты поселений'!E100</f>
        <v>0</v>
      </c>
      <c r="H100" s="137">
        <f>'бюджет округа (района)'!E100</f>
        <v>0</v>
      </c>
      <c r="I100" s="134">
        <f>'бюджет округа (района)'!F100+'бюджеты поселений'!F100</f>
        <v>0</v>
      </c>
      <c r="J100" s="137">
        <f>'бюджет округа (района)'!F100</f>
        <v>0</v>
      </c>
      <c r="K100" s="137">
        <f t="shared" si="560"/>
        <v>0</v>
      </c>
      <c r="L100" s="137">
        <f t="shared" si="560"/>
        <v>0</v>
      </c>
      <c r="M100" s="134">
        <f>'бюджет округа (района)'!H100+'бюджеты поселений'!H100</f>
        <v>0</v>
      </c>
      <c r="N100" s="137">
        <f>'бюджет округа (района)'!H100</f>
        <v>0</v>
      </c>
      <c r="O100" s="137">
        <f t="shared" si="561"/>
        <v>0</v>
      </c>
      <c r="P100" s="137">
        <f t="shared" si="561"/>
        <v>0</v>
      </c>
      <c r="Q100" s="134">
        <f>'бюджет округа (района)'!J100+'бюджеты поселений'!J100</f>
        <v>0</v>
      </c>
      <c r="R100" s="137">
        <f>'бюджет округа (района)'!J100</f>
        <v>0</v>
      </c>
      <c r="S100" s="137">
        <f t="shared" si="562"/>
        <v>0</v>
      </c>
      <c r="T100" s="137">
        <f t="shared" si="562"/>
        <v>0</v>
      </c>
      <c r="U100" s="134">
        <f>'бюджет округа (района)'!L100+'бюджеты поселений'!L100</f>
        <v>0</v>
      </c>
      <c r="V100" s="137">
        <f>'бюджет округа (района)'!L100</f>
        <v>0</v>
      </c>
      <c r="W100" s="137">
        <f t="shared" si="563"/>
        <v>0</v>
      </c>
      <c r="X100" s="137">
        <f t="shared" si="563"/>
        <v>0</v>
      </c>
      <c r="Y100" s="134">
        <f>'бюджет округа (района)'!N100+'бюджеты поселений'!N100</f>
        <v>0</v>
      </c>
      <c r="Z100" s="137">
        <f>'бюджет округа (района)'!N100</f>
        <v>0</v>
      </c>
      <c r="AA100" s="137">
        <f t="shared" si="564"/>
        <v>0</v>
      </c>
      <c r="AB100" s="137">
        <f t="shared" si="564"/>
        <v>0</v>
      </c>
      <c r="AC100" s="134">
        <f>'бюджет округа (района)'!P100+'бюджеты поселений'!P100</f>
        <v>0</v>
      </c>
      <c r="AD100" s="137">
        <f>'бюджет округа (района)'!P100</f>
        <v>0</v>
      </c>
      <c r="AE100" s="137">
        <f t="shared" si="565"/>
        <v>0</v>
      </c>
      <c r="AF100" s="137">
        <f t="shared" si="565"/>
        <v>0</v>
      </c>
      <c r="AG100" s="134">
        <f>'бюджет округа (района)'!R100+'бюджеты поселений'!R100</f>
        <v>0</v>
      </c>
      <c r="AH100" s="137">
        <f>'бюджет округа (района)'!R100</f>
        <v>0</v>
      </c>
      <c r="AI100" s="137">
        <f t="shared" si="566"/>
        <v>0</v>
      </c>
      <c r="AJ100" s="137">
        <f t="shared" si="566"/>
        <v>0</v>
      </c>
      <c r="AK100" s="134">
        <f>'бюджет округа (района)'!T100+'бюджеты поселений'!T100</f>
        <v>0</v>
      </c>
      <c r="AL100" s="137">
        <f>'бюджет округа (района)'!T100</f>
        <v>0</v>
      </c>
      <c r="AM100" s="137">
        <f t="shared" si="567"/>
        <v>0</v>
      </c>
      <c r="AN100" s="137">
        <f t="shared" si="567"/>
        <v>0</v>
      </c>
      <c r="AO100" s="134">
        <f>'бюджет округа (района)'!V100+'бюджеты поселений'!V100</f>
        <v>0</v>
      </c>
      <c r="AP100" s="137">
        <f>'бюджет округа (района)'!V100</f>
        <v>0</v>
      </c>
      <c r="AQ100" s="137">
        <f t="shared" si="568"/>
        <v>0</v>
      </c>
      <c r="AR100" s="137">
        <f t="shared" si="568"/>
        <v>0</v>
      </c>
      <c r="AS100" s="134">
        <f>'бюджет округа (района)'!X100+'бюджеты поселений'!X100</f>
        <v>0</v>
      </c>
      <c r="AT100" s="137">
        <f>'бюджет округа (района)'!X100</f>
        <v>0</v>
      </c>
      <c r="AU100" s="137">
        <f t="shared" si="569"/>
        <v>0</v>
      </c>
      <c r="AV100" s="137">
        <f t="shared" si="569"/>
        <v>0</v>
      </c>
      <c r="AW100" s="134">
        <f>'бюджет округа (района)'!Z100+'бюджеты поселений'!Z100</f>
        <v>0</v>
      </c>
      <c r="AX100" s="137">
        <f>'бюджет округа (района)'!Z100</f>
        <v>0</v>
      </c>
      <c r="AY100" s="134">
        <f>'бюджет округа (района)'!AA100+'бюджеты поселений'!AA100</f>
        <v>0</v>
      </c>
      <c r="AZ100" s="137">
        <f>'бюджет округа (района)'!AA100</f>
        <v>0</v>
      </c>
      <c r="BA100" s="135">
        <f t="shared" si="581"/>
        <v>1</v>
      </c>
      <c r="BB100" s="135">
        <f t="shared" si="581"/>
        <v>1</v>
      </c>
      <c r="BC100" s="134">
        <f>'бюджет округа (района)'!AC100+'бюджеты поселений'!AC100</f>
        <v>0</v>
      </c>
      <c r="BD100" s="137">
        <f>'бюджет округа (района)'!AC100</f>
        <v>0</v>
      </c>
      <c r="BE100" s="134">
        <f>'бюджет округа (района)'!AD100+'бюджеты поселений'!AD100</f>
        <v>0</v>
      </c>
      <c r="BF100" s="137">
        <f>'бюджет округа (района)'!AD100</f>
        <v>0</v>
      </c>
      <c r="BG100" s="137">
        <f t="shared" si="570"/>
        <v>0</v>
      </c>
      <c r="BH100" s="137">
        <f t="shared" si="570"/>
        <v>0</v>
      </c>
      <c r="BI100" s="135">
        <f t="shared" si="546"/>
        <v>1</v>
      </c>
      <c r="BJ100" s="135">
        <f t="shared" si="546"/>
        <v>1</v>
      </c>
      <c r="BK100" s="134">
        <f>'бюджет округа (района)'!AG100+'бюджеты поселений'!AG100</f>
        <v>0</v>
      </c>
      <c r="BL100" s="137">
        <f>'бюджет округа (района)'!AG100</f>
        <v>0</v>
      </c>
      <c r="BM100" s="137">
        <f t="shared" si="571"/>
        <v>0</v>
      </c>
      <c r="BN100" s="137">
        <f t="shared" si="571"/>
        <v>0</v>
      </c>
      <c r="BO100" s="135">
        <f t="shared" si="547"/>
        <v>1</v>
      </c>
      <c r="BP100" s="135">
        <f t="shared" si="547"/>
        <v>1</v>
      </c>
      <c r="BQ100" s="134">
        <f>'бюджет округа (района)'!AJ100+'бюджеты поселений'!AJ100</f>
        <v>0</v>
      </c>
      <c r="BR100" s="137">
        <f>'бюджет округа (района)'!AJ100</f>
        <v>0</v>
      </c>
      <c r="BS100" s="137">
        <f t="shared" si="572"/>
        <v>0</v>
      </c>
      <c r="BT100" s="137">
        <f t="shared" si="572"/>
        <v>0</v>
      </c>
      <c r="BU100" s="135">
        <f t="shared" si="548"/>
        <v>1</v>
      </c>
      <c r="BV100" s="135">
        <f t="shared" si="548"/>
        <v>1</v>
      </c>
      <c r="BW100" s="134">
        <f>'бюджет округа (района)'!AM100+'бюджеты поселений'!AM100</f>
        <v>0</v>
      </c>
      <c r="BX100" s="137">
        <f>'бюджет округа (района)'!AM100</f>
        <v>0</v>
      </c>
      <c r="BY100" s="137">
        <f t="shared" si="573"/>
        <v>0</v>
      </c>
      <c r="BZ100" s="137">
        <f t="shared" si="573"/>
        <v>0</v>
      </c>
      <c r="CA100" s="135">
        <f t="shared" si="549"/>
        <v>1</v>
      </c>
      <c r="CB100" s="135">
        <f t="shared" si="549"/>
        <v>1</v>
      </c>
      <c r="CC100" s="134">
        <f>'бюджет округа (района)'!AP100+'бюджеты поселений'!AP100</f>
        <v>0</v>
      </c>
      <c r="CD100" s="137">
        <f>'бюджет округа (района)'!AP100</f>
        <v>0</v>
      </c>
      <c r="CE100" s="137">
        <f t="shared" si="574"/>
        <v>0</v>
      </c>
      <c r="CF100" s="137">
        <f t="shared" si="574"/>
        <v>0</v>
      </c>
      <c r="CG100" s="135">
        <f t="shared" si="550"/>
        <v>1</v>
      </c>
      <c r="CH100" s="135">
        <f t="shared" si="550"/>
        <v>1</v>
      </c>
      <c r="CI100" s="134">
        <f>'бюджет округа (района)'!AS100+'бюджеты поселений'!AS100</f>
        <v>0</v>
      </c>
      <c r="CJ100" s="137">
        <f>'бюджет округа (района)'!AS100</f>
        <v>0</v>
      </c>
      <c r="CK100" s="137">
        <f t="shared" si="575"/>
        <v>0</v>
      </c>
      <c r="CL100" s="137">
        <f t="shared" si="575"/>
        <v>0</v>
      </c>
      <c r="CM100" s="135">
        <f t="shared" si="551"/>
        <v>1</v>
      </c>
      <c r="CN100" s="135">
        <f t="shared" si="551"/>
        <v>1</v>
      </c>
      <c r="CO100" s="134">
        <f>'бюджет округа (района)'!AV100+'бюджеты поселений'!AV100</f>
        <v>0</v>
      </c>
      <c r="CP100" s="137">
        <f>'бюджет округа (района)'!AV100</f>
        <v>0</v>
      </c>
      <c r="CQ100" s="137">
        <f t="shared" si="576"/>
        <v>0</v>
      </c>
      <c r="CR100" s="137">
        <f t="shared" si="576"/>
        <v>0</v>
      </c>
      <c r="CS100" s="135">
        <f t="shared" si="552"/>
        <v>1</v>
      </c>
      <c r="CT100" s="135">
        <f t="shared" si="552"/>
        <v>1</v>
      </c>
      <c r="CU100" s="134">
        <f>'бюджет округа (района)'!AY100+'бюджеты поселений'!AY100</f>
        <v>0</v>
      </c>
      <c r="CV100" s="137">
        <f>'бюджет округа (района)'!AY100</f>
        <v>0</v>
      </c>
      <c r="CW100" s="137">
        <f t="shared" si="577"/>
        <v>0</v>
      </c>
      <c r="CX100" s="137">
        <f t="shared" si="577"/>
        <v>0</v>
      </c>
      <c r="CY100" s="135">
        <f t="shared" si="553"/>
        <v>1</v>
      </c>
      <c r="CZ100" s="135">
        <f t="shared" si="553"/>
        <v>1</v>
      </c>
      <c r="DA100" s="134">
        <f>'бюджет округа (района)'!BB100+'бюджеты поселений'!BB100</f>
        <v>0</v>
      </c>
      <c r="DB100" s="137">
        <f>'бюджет округа (района)'!BB100</f>
        <v>0</v>
      </c>
      <c r="DC100" s="137">
        <f t="shared" si="578"/>
        <v>0</v>
      </c>
      <c r="DD100" s="137">
        <f t="shared" si="578"/>
        <v>0</v>
      </c>
      <c r="DE100" s="135">
        <f t="shared" si="554"/>
        <v>1</v>
      </c>
      <c r="DF100" s="135">
        <f t="shared" si="554"/>
        <v>1</v>
      </c>
      <c r="DG100" s="134">
        <f>'бюджет округа (района)'!BE100+'бюджеты поселений'!BE100</f>
        <v>0</v>
      </c>
      <c r="DH100" s="137">
        <f>'бюджет округа (района)'!BE100</f>
        <v>0</v>
      </c>
      <c r="DI100" s="137">
        <f t="shared" si="579"/>
        <v>0</v>
      </c>
      <c r="DJ100" s="137">
        <f t="shared" si="579"/>
        <v>0</v>
      </c>
      <c r="DK100" s="135">
        <f t="shared" si="555"/>
        <v>1</v>
      </c>
      <c r="DL100" s="135">
        <f t="shared" si="555"/>
        <v>1</v>
      </c>
      <c r="DM100" s="134">
        <f>'бюджет округа (района)'!BH100+'бюджеты поселений'!BH100</f>
        <v>0</v>
      </c>
      <c r="DN100" s="137">
        <f>'бюджет округа (района)'!BH100</f>
        <v>0</v>
      </c>
      <c r="DO100" s="134">
        <f>'бюджет округа (района)'!BI100+'бюджеты поселений'!BI100</f>
        <v>0</v>
      </c>
      <c r="DP100" s="137">
        <f>'бюджет округа (района)'!BI100</f>
        <v>0</v>
      </c>
      <c r="DQ100" s="134">
        <f>'бюджет округа (района)'!BJ100+'бюджеты поселений'!BJ100</f>
        <v>0</v>
      </c>
      <c r="DR100" s="137">
        <f>'бюджет округа (района)'!BJ100</f>
        <v>0</v>
      </c>
      <c r="DS100" s="135">
        <f t="shared" si="584"/>
        <v>1</v>
      </c>
      <c r="DT100" s="135">
        <f t="shared" si="585"/>
        <v>1</v>
      </c>
      <c r="DU100" s="135">
        <f t="shared" si="557"/>
        <v>1</v>
      </c>
      <c r="DV100" s="135">
        <f t="shared" si="558"/>
        <v>1</v>
      </c>
    </row>
    <row r="101" spans="1:268" s="104" customFormat="1" ht="18" customHeight="1">
      <c r="A101" s="234" t="s">
        <v>68</v>
      </c>
      <c r="B101" s="235"/>
      <c r="C101" s="137">
        <f t="shared" ref="C101:J101" si="586">C102+C103+C104+C105+C106+C107+C108+C112+C109+C110+C111</f>
        <v>0</v>
      </c>
      <c r="D101" s="137">
        <f t="shared" si="586"/>
        <v>0</v>
      </c>
      <c r="E101" s="137">
        <f t="shared" si="586"/>
        <v>0</v>
      </c>
      <c r="F101" s="137">
        <f t="shared" si="586"/>
        <v>0</v>
      </c>
      <c r="G101" s="137">
        <f t="shared" si="586"/>
        <v>0</v>
      </c>
      <c r="H101" s="137">
        <f t="shared" si="586"/>
        <v>0</v>
      </c>
      <c r="I101" s="137">
        <f t="shared" si="586"/>
        <v>0</v>
      </c>
      <c r="J101" s="137">
        <f t="shared" si="586"/>
        <v>0</v>
      </c>
      <c r="K101" s="137">
        <f t="shared" si="560"/>
        <v>0</v>
      </c>
      <c r="L101" s="137">
        <f t="shared" si="560"/>
        <v>0</v>
      </c>
      <c r="M101" s="137">
        <f>M102+M103+M104+M105+M106+M107+M108+M112+M109+M110+M111</f>
        <v>0</v>
      </c>
      <c r="N101" s="137">
        <f>N102+N103+N104+N105+N106+N107+N108+N112+N109+N110+N111</f>
        <v>0</v>
      </c>
      <c r="O101" s="137">
        <f t="shared" ref="O101:P101" si="587">O102+O103+O104+O105+O106+O107+O108+O112</f>
        <v>0</v>
      </c>
      <c r="P101" s="137">
        <f t="shared" si="587"/>
        <v>0</v>
      </c>
      <c r="Q101" s="137">
        <f>Q102+Q103+Q104+Q105+Q106+Q107+Q108+Q112+Q109+Q110+Q111</f>
        <v>0</v>
      </c>
      <c r="R101" s="137">
        <f>R102+R103+R104+R105+R106+R107+R108+R112+R109+R110+R111</f>
        <v>0</v>
      </c>
      <c r="S101" s="137">
        <f t="shared" si="562"/>
        <v>0</v>
      </c>
      <c r="T101" s="137">
        <f t="shared" si="562"/>
        <v>0</v>
      </c>
      <c r="U101" s="137">
        <f>U102+U103+U104+U105+U106+U107+U108+U112+U109+U110+U111</f>
        <v>0</v>
      </c>
      <c r="V101" s="137">
        <f>V102+V103+V104+V105+V106+V107+V108+V112+V109+V110+V111</f>
        <v>0</v>
      </c>
      <c r="W101" s="137">
        <f t="shared" si="563"/>
        <v>0</v>
      </c>
      <c r="X101" s="137">
        <f t="shared" si="563"/>
        <v>0</v>
      </c>
      <c r="Y101" s="137">
        <f>Y102+Y103+Y104+Y105+Y106+Y107+Y108+Y112+Y109+Y110+Y111</f>
        <v>0</v>
      </c>
      <c r="Z101" s="137">
        <f>Z102+Z103+Z104+Z105+Z106+Z107+Z108+Z112+Z109+Z110+Z111</f>
        <v>0</v>
      </c>
      <c r="AA101" s="137">
        <f t="shared" si="564"/>
        <v>0</v>
      </c>
      <c r="AB101" s="137">
        <f t="shared" si="564"/>
        <v>0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565"/>
        <v>0</v>
      </c>
      <c r="AF101" s="137">
        <f t="shared" si="565"/>
        <v>0</v>
      </c>
      <c r="AG101" s="137">
        <f>AG102+AG103+AG104+AG105+AG106+AG107+AG108+AG112+AG109+AG110+AG111</f>
        <v>0</v>
      </c>
      <c r="AH101" s="137">
        <f>AH102+AH103+AH104+AH105+AH106+AH107+AH108+AH112+AH109+AH110+AH111</f>
        <v>0</v>
      </c>
      <c r="AI101" s="137">
        <f t="shared" si="566"/>
        <v>0</v>
      </c>
      <c r="AJ101" s="137">
        <f t="shared" si="566"/>
        <v>0</v>
      </c>
      <c r="AK101" s="137">
        <f>AK102+AK103+AK104+AK105+AK106+AK107+AK108+AK112+AK109+AK110+AK111</f>
        <v>0</v>
      </c>
      <c r="AL101" s="137">
        <f>AL102+AL103+AL104+AL105+AL106+AL107+AL108+AL112+AL109+AL110+AL111</f>
        <v>0</v>
      </c>
      <c r="AM101" s="137">
        <f t="shared" si="567"/>
        <v>0</v>
      </c>
      <c r="AN101" s="137">
        <f t="shared" si="567"/>
        <v>0</v>
      </c>
      <c r="AO101" s="137">
        <f>AO102+AO103+AO104+AO105+AO106+AO107+AO108+AO112+AO109+AO110+AO111</f>
        <v>0</v>
      </c>
      <c r="AP101" s="137">
        <f>AP102+AP103+AP104+AP105+AP106+AP107+AP108+AP112+AP109+AP110+AP111</f>
        <v>0</v>
      </c>
      <c r="AQ101" s="137">
        <f t="shared" si="568"/>
        <v>0</v>
      </c>
      <c r="AR101" s="137">
        <f t="shared" si="568"/>
        <v>0</v>
      </c>
      <c r="AS101" s="137">
        <f>AS102+AS103+AS104+AS105+AS106+AS107+AS108+AS112+AS109+AS110+AS111</f>
        <v>0</v>
      </c>
      <c r="AT101" s="137">
        <f>AT102+AT103+AT104+AT105+AT106+AT107+AT108+AT112+AT109+AT110+AT111</f>
        <v>0</v>
      </c>
      <c r="AU101" s="137">
        <f t="shared" si="569"/>
        <v>0</v>
      </c>
      <c r="AV101" s="137">
        <f t="shared" si="569"/>
        <v>0</v>
      </c>
      <c r="AW101" s="137">
        <f>AW102+AW103+AW104+AW105+AW106+AW107+AW108+AW112+AW109+AW110+AW111</f>
        <v>0</v>
      </c>
      <c r="AX101" s="137">
        <f>AX102+AX103+AX104+AX105+AX106+AX107+AX108+AX112+AX109+AX110+AX111</f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5">
        <f t="shared" si="581"/>
        <v>1</v>
      </c>
      <c r="BB101" s="135">
        <f t="shared" si="581"/>
        <v>1</v>
      </c>
      <c r="BC101" s="137">
        <f>BC102+BC103+BC104+BC105+BC106+BC107+BC108+BC112+BC109+BC110+BC111</f>
        <v>0</v>
      </c>
      <c r="BD101" s="137">
        <f>BD102+BD103+BD104+BD105+BD106+BD107+BD108+BD112+BD109+BD110+BD111</f>
        <v>0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 t="shared" si="570"/>
        <v>0</v>
      </c>
      <c r="BH101" s="137">
        <f t="shared" si="570"/>
        <v>0</v>
      </c>
      <c r="BI101" s="135">
        <f t="shared" si="546"/>
        <v>1</v>
      </c>
      <c r="BJ101" s="135">
        <f t="shared" si="546"/>
        <v>1</v>
      </c>
      <c r="BK101" s="137">
        <f>BK102+BK103+BK104+BK105+BK106+BK107+BK108+BK112+BK109+BK110+BK111</f>
        <v>0</v>
      </c>
      <c r="BL101" s="137">
        <f>BL102+BL103+BL104+BL105+BL106+BL107+BL108+BL112+BL109+BL110+BL111</f>
        <v>0</v>
      </c>
      <c r="BM101" s="137">
        <f t="shared" si="571"/>
        <v>0</v>
      </c>
      <c r="BN101" s="137">
        <f t="shared" si="571"/>
        <v>0</v>
      </c>
      <c r="BO101" s="135">
        <f t="shared" si="547"/>
        <v>1</v>
      </c>
      <c r="BP101" s="135">
        <f t="shared" si="547"/>
        <v>1</v>
      </c>
      <c r="BQ101" s="137">
        <f>BQ102+BQ103+BQ104+BQ105+BQ106+BQ107+BQ108+BQ112+BQ109+BQ110+BQ111</f>
        <v>0</v>
      </c>
      <c r="BR101" s="137">
        <f>BR102+BR103+BR104+BR105+BR106+BR107+BR108+BR112+BR109+BR110+BR111</f>
        <v>0</v>
      </c>
      <c r="BS101" s="137">
        <f t="shared" si="572"/>
        <v>0</v>
      </c>
      <c r="BT101" s="137">
        <f t="shared" si="572"/>
        <v>0</v>
      </c>
      <c r="BU101" s="135">
        <f t="shared" si="548"/>
        <v>1</v>
      </c>
      <c r="BV101" s="135">
        <f t="shared" si="548"/>
        <v>1</v>
      </c>
      <c r="BW101" s="137">
        <f>BW102+BW103+BW104+BW105+BW106+BW107+BW108+BW112+BW109+BW110+BW111</f>
        <v>0</v>
      </c>
      <c r="BX101" s="137">
        <f>BX102+BX103+BX104+BX105+BX106+BX107+BX108+BX112+BX109+BX110+BX111</f>
        <v>0</v>
      </c>
      <c r="BY101" s="137">
        <f t="shared" si="573"/>
        <v>0</v>
      </c>
      <c r="BZ101" s="137">
        <f t="shared" si="573"/>
        <v>0</v>
      </c>
      <c r="CA101" s="135">
        <f t="shared" si="549"/>
        <v>1</v>
      </c>
      <c r="CB101" s="135">
        <f t="shared" si="549"/>
        <v>1</v>
      </c>
      <c r="CC101" s="137">
        <f>CC102+CC103+CC104+CC105+CC106+CC107+CC108+CC112+CC109+CC110+CC111</f>
        <v>0</v>
      </c>
      <c r="CD101" s="137">
        <f>CD102+CD103+CD104+CD105+CD106+CD107+CD108+CD112+CD109+CD110+CD111</f>
        <v>0</v>
      </c>
      <c r="CE101" s="137">
        <f t="shared" si="574"/>
        <v>0</v>
      </c>
      <c r="CF101" s="137">
        <f t="shared" si="574"/>
        <v>0</v>
      </c>
      <c r="CG101" s="135">
        <f t="shared" si="550"/>
        <v>1</v>
      </c>
      <c r="CH101" s="135">
        <f t="shared" si="550"/>
        <v>1</v>
      </c>
      <c r="CI101" s="137">
        <f>CI102+CI103+CI104+CI105+CI106+CI107+CI108+CI112+CI109+CI110+CI111</f>
        <v>0</v>
      </c>
      <c r="CJ101" s="137">
        <f>CJ102+CJ103+CJ104+CJ105+CJ106+CJ107+CJ108+CJ112+CJ109+CJ110+CJ111</f>
        <v>0</v>
      </c>
      <c r="CK101" s="137">
        <f t="shared" si="575"/>
        <v>0</v>
      </c>
      <c r="CL101" s="137">
        <f t="shared" si="575"/>
        <v>0</v>
      </c>
      <c r="CM101" s="135">
        <f t="shared" si="551"/>
        <v>1</v>
      </c>
      <c r="CN101" s="135">
        <f t="shared" si="551"/>
        <v>1</v>
      </c>
      <c r="CO101" s="137">
        <f>CO102+CO103+CO104+CO105+CO106+CO107+CO108+CO112+CO109+CO110+CO111</f>
        <v>0</v>
      </c>
      <c r="CP101" s="137">
        <f>CP102+CP103+CP104+CP105+CP106+CP107+CP108+CP112+CP109+CP110+CP111</f>
        <v>0</v>
      </c>
      <c r="CQ101" s="137">
        <f t="shared" si="576"/>
        <v>0</v>
      </c>
      <c r="CR101" s="137">
        <f t="shared" si="576"/>
        <v>0</v>
      </c>
      <c r="CS101" s="135">
        <f t="shared" si="552"/>
        <v>1</v>
      </c>
      <c r="CT101" s="135">
        <f t="shared" si="552"/>
        <v>1</v>
      </c>
      <c r="CU101" s="137">
        <f>CU102+CU103+CU104+CU105+CU106+CU107+CU108+CU112+CU109+CU110+CU111</f>
        <v>0</v>
      </c>
      <c r="CV101" s="137">
        <f>CV102+CV103+CV104+CV105+CV106+CV107+CV108+CV112+CV109+CV110+CV111</f>
        <v>0</v>
      </c>
      <c r="CW101" s="137">
        <f t="shared" si="577"/>
        <v>0</v>
      </c>
      <c r="CX101" s="137">
        <f t="shared" si="577"/>
        <v>0</v>
      </c>
      <c r="CY101" s="135">
        <f t="shared" si="553"/>
        <v>1</v>
      </c>
      <c r="CZ101" s="135">
        <f t="shared" si="553"/>
        <v>1</v>
      </c>
      <c r="DA101" s="137">
        <f>DA102+DA103+DA104+DA105+DA106+DA107+DA108+DA112+DA109+DA110+DA111</f>
        <v>0</v>
      </c>
      <c r="DB101" s="137">
        <f>DB102+DB103+DB104+DB105+DB106+DB107+DB108+DB112+DB109+DB110+DB111</f>
        <v>0</v>
      </c>
      <c r="DC101" s="137">
        <f t="shared" si="578"/>
        <v>0</v>
      </c>
      <c r="DD101" s="137">
        <f t="shared" si="578"/>
        <v>0</v>
      </c>
      <c r="DE101" s="135">
        <f t="shared" si="554"/>
        <v>1</v>
      </c>
      <c r="DF101" s="135">
        <f t="shared" si="554"/>
        <v>1</v>
      </c>
      <c r="DG101" s="137">
        <f>DG102+DG103+DG104+DG105+DG106+DG107+DG108+DG112+DG109+DG110+DG111</f>
        <v>0</v>
      </c>
      <c r="DH101" s="137">
        <f>DH102+DH103+DH104+DH105+DH106+DH107+DH108+DH112+DH109+DH110+DH111</f>
        <v>0</v>
      </c>
      <c r="DI101" s="137">
        <f t="shared" si="579"/>
        <v>0</v>
      </c>
      <c r="DJ101" s="137">
        <f t="shared" si="579"/>
        <v>0</v>
      </c>
      <c r="DK101" s="135">
        <f t="shared" si="555"/>
        <v>1</v>
      </c>
      <c r="DL101" s="135">
        <f t="shared" si="555"/>
        <v>1</v>
      </c>
      <c r="DM101" s="137">
        <f t="shared" ref="DM101:DR101" si="588">DM102+DM103+DM104+DM105+DM106+DM107+DM108+DM112+DM109+DM110+DM111</f>
        <v>0</v>
      </c>
      <c r="DN101" s="137">
        <f t="shared" si="588"/>
        <v>0</v>
      </c>
      <c r="DO101" s="137">
        <f t="shared" si="588"/>
        <v>0</v>
      </c>
      <c r="DP101" s="137">
        <f t="shared" si="588"/>
        <v>0</v>
      </c>
      <c r="DQ101" s="137">
        <f t="shared" si="588"/>
        <v>0</v>
      </c>
      <c r="DR101" s="137">
        <f t="shared" si="588"/>
        <v>0</v>
      </c>
      <c r="DS101" s="135">
        <f>IF($AY$101=0,1,DQ101/$AY$101-1)</f>
        <v>1</v>
      </c>
      <c r="DT101" s="135">
        <f>IF($AZ$101=0,1,DR101/$AZ$101-1)</f>
        <v>1</v>
      </c>
      <c r="DU101" s="135">
        <f t="shared" si="557"/>
        <v>1</v>
      </c>
      <c r="DV101" s="135">
        <f t="shared" si="558"/>
        <v>1</v>
      </c>
      <c r="DW101" s="167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228">
        <v>243</v>
      </c>
      <c r="B102" s="229"/>
      <c r="C102" s="134">
        <f>'бюджет округа (района)'!C102+'бюджеты поселений'!C102</f>
        <v>0</v>
      </c>
      <c r="D102" s="137">
        <f>'бюджет округа (района)'!C102</f>
        <v>0</v>
      </c>
      <c r="E102" s="134">
        <f t="shared" ref="E102:F112" si="589">G102+I102+M102+Q102+U102+Y102+AC102+AG102+AK102+AO102+AS102+AW102</f>
        <v>0</v>
      </c>
      <c r="F102" s="137">
        <f t="shared" si="589"/>
        <v>0</v>
      </c>
      <c r="G102" s="134">
        <f>'бюджет округа (района)'!E102+'бюджеты поселений'!E102</f>
        <v>0</v>
      </c>
      <c r="H102" s="137">
        <f>'бюджет округа (района)'!E102</f>
        <v>0</v>
      </c>
      <c r="I102" s="134">
        <f>'бюджет округа (района)'!F102+'бюджеты поселений'!F102</f>
        <v>0</v>
      </c>
      <c r="J102" s="137">
        <f>'бюджет округа (района)'!F102</f>
        <v>0</v>
      </c>
      <c r="K102" s="137">
        <f t="shared" si="560"/>
        <v>0</v>
      </c>
      <c r="L102" s="137">
        <f t="shared" si="560"/>
        <v>0</v>
      </c>
      <c r="M102" s="134">
        <f>'бюджет округа (района)'!H102+'бюджеты поселений'!H102</f>
        <v>0</v>
      </c>
      <c r="N102" s="137">
        <f>'бюджет округа (района)'!H102</f>
        <v>0</v>
      </c>
      <c r="O102" s="137">
        <f t="shared" ref="O102:P112" si="590">I102+G102</f>
        <v>0</v>
      </c>
      <c r="P102" s="137">
        <f t="shared" si="590"/>
        <v>0</v>
      </c>
      <c r="Q102" s="134">
        <f>'бюджет округа (района)'!J102+'бюджеты поселений'!J102</f>
        <v>0</v>
      </c>
      <c r="R102" s="137">
        <f>'бюджет округа (района)'!J102</f>
        <v>0</v>
      </c>
      <c r="S102" s="137">
        <f t="shared" si="562"/>
        <v>0</v>
      </c>
      <c r="T102" s="137">
        <f t="shared" si="562"/>
        <v>0</v>
      </c>
      <c r="U102" s="134">
        <f>'бюджет округа (района)'!L102+'бюджеты поселений'!L102</f>
        <v>0</v>
      </c>
      <c r="V102" s="137">
        <f>'бюджет округа (района)'!L102</f>
        <v>0</v>
      </c>
      <c r="W102" s="137">
        <f t="shared" si="563"/>
        <v>0</v>
      </c>
      <c r="X102" s="137">
        <f t="shared" si="563"/>
        <v>0</v>
      </c>
      <c r="Y102" s="134">
        <f>'бюджет округа (района)'!N102+'бюджеты поселений'!N102</f>
        <v>0</v>
      </c>
      <c r="Z102" s="137">
        <f>'бюджет округа (района)'!N102</f>
        <v>0</v>
      </c>
      <c r="AA102" s="137">
        <f t="shared" si="564"/>
        <v>0</v>
      </c>
      <c r="AB102" s="137">
        <f t="shared" si="564"/>
        <v>0</v>
      </c>
      <c r="AC102" s="134">
        <f>'бюджет округа (района)'!P102+'бюджеты поселений'!P102</f>
        <v>0</v>
      </c>
      <c r="AD102" s="137">
        <f>'бюджет округа (района)'!P102</f>
        <v>0</v>
      </c>
      <c r="AE102" s="137">
        <f t="shared" si="565"/>
        <v>0</v>
      </c>
      <c r="AF102" s="137">
        <f t="shared" si="565"/>
        <v>0</v>
      </c>
      <c r="AG102" s="134">
        <f>'бюджет округа (района)'!R102+'бюджеты поселений'!R102</f>
        <v>0</v>
      </c>
      <c r="AH102" s="137">
        <f>'бюджет округа (района)'!R102</f>
        <v>0</v>
      </c>
      <c r="AI102" s="137">
        <f t="shared" si="566"/>
        <v>0</v>
      </c>
      <c r="AJ102" s="137">
        <f t="shared" si="566"/>
        <v>0</v>
      </c>
      <c r="AK102" s="134">
        <f>'бюджет округа (района)'!T102+'бюджеты поселений'!T102</f>
        <v>0</v>
      </c>
      <c r="AL102" s="137">
        <f>'бюджет округа (района)'!T102</f>
        <v>0</v>
      </c>
      <c r="AM102" s="137">
        <f t="shared" si="567"/>
        <v>0</v>
      </c>
      <c r="AN102" s="137">
        <f t="shared" si="567"/>
        <v>0</v>
      </c>
      <c r="AO102" s="134">
        <f>'бюджет округа (района)'!V102+'бюджеты поселений'!V102</f>
        <v>0</v>
      </c>
      <c r="AP102" s="137">
        <f>'бюджет округа (района)'!V102</f>
        <v>0</v>
      </c>
      <c r="AQ102" s="137">
        <f t="shared" si="568"/>
        <v>0</v>
      </c>
      <c r="AR102" s="137">
        <f t="shared" si="568"/>
        <v>0</v>
      </c>
      <c r="AS102" s="134">
        <f>'бюджет округа (района)'!X102+'бюджеты поселений'!X102</f>
        <v>0</v>
      </c>
      <c r="AT102" s="137">
        <f>'бюджет округа (района)'!X102</f>
        <v>0</v>
      </c>
      <c r="AU102" s="137">
        <f t="shared" si="569"/>
        <v>0</v>
      </c>
      <c r="AV102" s="137">
        <f t="shared" si="569"/>
        <v>0</v>
      </c>
      <c r="AW102" s="134">
        <f>'бюджет округа (района)'!Z102+'бюджеты поселений'!Z102</f>
        <v>0</v>
      </c>
      <c r="AX102" s="137">
        <f>'бюджет округа (района)'!Z102</f>
        <v>0</v>
      </c>
      <c r="AY102" s="134">
        <f>'бюджет округа (района)'!AA102+'бюджеты поселений'!AA102</f>
        <v>0</v>
      </c>
      <c r="AZ102" s="137">
        <f>'бюджет округа (района)'!AA102</f>
        <v>0</v>
      </c>
      <c r="BA102" s="135">
        <f t="shared" si="581"/>
        <v>1</v>
      </c>
      <c r="BB102" s="135">
        <f t="shared" si="581"/>
        <v>1</v>
      </c>
      <c r="BC102" s="134">
        <f>'бюджет округа (района)'!AC102+'бюджеты поселений'!AC102</f>
        <v>0</v>
      </c>
      <c r="BD102" s="137">
        <f>'бюджет округа (района)'!AC102</f>
        <v>0</v>
      </c>
      <c r="BE102" s="134">
        <f>'бюджет округа (района)'!AD102+'бюджеты поселений'!AD102</f>
        <v>0</v>
      </c>
      <c r="BF102" s="137">
        <f>'бюджет округа (района)'!AD102</f>
        <v>0</v>
      </c>
      <c r="BG102" s="137">
        <f t="shared" si="570"/>
        <v>0</v>
      </c>
      <c r="BH102" s="137">
        <f t="shared" si="570"/>
        <v>0</v>
      </c>
      <c r="BI102" s="135">
        <f t="shared" si="546"/>
        <v>1</v>
      </c>
      <c r="BJ102" s="135">
        <f t="shared" si="546"/>
        <v>1</v>
      </c>
      <c r="BK102" s="134">
        <f>'бюджет округа (района)'!AG102+'бюджеты поселений'!AG102</f>
        <v>0</v>
      </c>
      <c r="BL102" s="137">
        <f>'бюджет округа (района)'!AG102</f>
        <v>0</v>
      </c>
      <c r="BM102" s="137">
        <f t="shared" si="571"/>
        <v>0</v>
      </c>
      <c r="BN102" s="137">
        <f t="shared" si="571"/>
        <v>0</v>
      </c>
      <c r="BO102" s="135">
        <f t="shared" si="547"/>
        <v>1</v>
      </c>
      <c r="BP102" s="135">
        <f t="shared" si="547"/>
        <v>1</v>
      </c>
      <c r="BQ102" s="134">
        <f>'бюджет округа (района)'!AJ102+'бюджеты поселений'!AJ102</f>
        <v>0</v>
      </c>
      <c r="BR102" s="137">
        <f>'бюджет округа (района)'!AJ102</f>
        <v>0</v>
      </c>
      <c r="BS102" s="137">
        <f t="shared" si="572"/>
        <v>0</v>
      </c>
      <c r="BT102" s="137">
        <f t="shared" si="572"/>
        <v>0</v>
      </c>
      <c r="BU102" s="135">
        <f t="shared" si="548"/>
        <v>1</v>
      </c>
      <c r="BV102" s="135">
        <f t="shared" si="548"/>
        <v>1</v>
      </c>
      <c r="BW102" s="134">
        <f>'бюджет округа (района)'!AM102+'бюджеты поселений'!AM102</f>
        <v>0</v>
      </c>
      <c r="BX102" s="137">
        <f>'бюджет округа (района)'!AM102</f>
        <v>0</v>
      </c>
      <c r="BY102" s="137">
        <f t="shared" si="573"/>
        <v>0</v>
      </c>
      <c r="BZ102" s="137">
        <f t="shared" si="573"/>
        <v>0</v>
      </c>
      <c r="CA102" s="135">
        <f t="shared" si="549"/>
        <v>1</v>
      </c>
      <c r="CB102" s="135">
        <f t="shared" si="549"/>
        <v>1</v>
      </c>
      <c r="CC102" s="134">
        <f>'бюджет округа (района)'!AP102+'бюджеты поселений'!AP102</f>
        <v>0</v>
      </c>
      <c r="CD102" s="137">
        <f>'бюджет округа (района)'!AP102</f>
        <v>0</v>
      </c>
      <c r="CE102" s="137">
        <f t="shared" si="574"/>
        <v>0</v>
      </c>
      <c r="CF102" s="137">
        <f t="shared" si="574"/>
        <v>0</v>
      </c>
      <c r="CG102" s="135">
        <f t="shared" si="550"/>
        <v>1</v>
      </c>
      <c r="CH102" s="135">
        <f t="shared" si="550"/>
        <v>1</v>
      </c>
      <c r="CI102" s="134">
        <f>'бюджет округа (района)'!AS102+'бюджеты поселений'!AS102</f>
        <v>0</v>
      </c>
      <c r="CJ102" s="137">
        <f>'бюджет округа (района)'!AS102</f>
        <v>0</v>
      </c>
      <c r="CK102" s="137">
        <f t="shared" si="575"/>
        <v>0</v>
      </c>
      <c r="CL102" s="137">
        <f t="shared" si="575"/>
        <v>0</v>
      </c>
      <c r="CM102" s="135">
        <f t="shared" si="551"/>
        <v>1</v>
      </c>
      <c r="CN102" s="135">
        <f t="shared" si="551"/>
        <v>1</v>
      </c>
      <c r="CO102" s="134">
        <f>'бюджет округа (района)'!AV102+'бюджеты поселений'!AV102</f>
        <v>0</v>
      </c>
      <c r="CP102" s="137">
        <f>'бюджет округа (района)'!AV102</f>
        <v>0</v>
      </c>
      <c r="CQ102" s="137">
        <f t="shared" si="576"/>
        <v>0</v>
      </c>
      <c r="CR102" s="137">
        <f t="shared" si="576"/>
        <v>0</v>
      </c>
      <c r="CS102" s="135">
        <f t="shared" si="552"/>
        <v>1</v>
      </c>
      <c r="CT102" s="135">
        <f t="shared" si="552"/>
        <v>1</v>
      </c>
      <c r="CU102" s="134">
        <f>'бюджет округа (района)'!AY102+'бюджеты поселений'!AY102</f>
        <v>0</v>
      </c>
      <c r="CV102" s="137">
        <f>'бюджет округа (района)'!AY102</f>
        <v>0</v>
      </c>
      <c r="CW102" s="137">
        <f t="shared" si="577"/>
        <v>0</v>
      </c>
      <c r="CX102" s="137">
        <f t="shared" si="577"/>
        <v>0</v>
      </c>
      <c r="CY102" s="135">
        <f t="shared" si="553"/>
        <v>1</v>
      </c>
      <c r="CZ102" s="135">
        <f t="shared" si="553"/>
        <v>1</v>
      </c>
      <c r="DA102" s="134">
        <f>'бюджет округа (района)'!BB102+'бюджеты поселений'!BB102</f>
        <v>0</v>
      </c>
      <c r="DB102" s="137">
        <f>'бюджет округа (района)'!BB102</f>
        <v>0</v>
      </c>
      <c r="DC102" s="137">
        <f t="shared" si="578"/>
        <v>0</v>
      </c>
      <c r="DD102" s="137">
        <f t="shared" si="578"/>
        <v>0</v>
      </c>
      <c r="DE102" s="135">
        <f t="shared" si="554"/>
        <v>1</v>
      </c>
      <c r="DF102" s="135">
        <f t="shared" si="554"/>
        <v>1</v>
      </c>
      <c r="DG102" s="134">
        <f>'бюджет округа (района)'!BE102+'бюджеты поселений'!BE102</f>
        <v>0</v>
      </c>
      <c r="DH102" s="137">
        <f>'бюджет округа (района)'!BE102</f>
        <v>0</v>
      </c>
      <c r="DI102" s="137">
        <f t="shared" si="579"/>
        <v>0</v>
      </c>
      <c r="DJ102" s="137">
        <f t="shared" si="579"/>
        <v>0</v>
      </c>
      <c r="DK102" s="135">
        <f t="shared" si="555"/>
        <v>1</v>
      </c>
      <c r="DL102" s="135">
        <f t="shared" si="555"/>
        <v>1</v>
      </c>
      <c r="DM102" s="134">
        <f>'бюджет округа (района)'!BH102+'бюджеты поселений'!BH102</f>
        <v>0</v>
      </c>
      <c r="DN102" s="137">
        <f>'бюджет округа (района)'!BH102</f>
        <v>0</v>
      </c>
      <c r="DO102" s="134">
        <f>'бюджет округа (района)'!BI102+'бюджеты поселений'!BI102</f>
        <v>0</v>
      </c>
      <c r="DP102" s="137">
        <f>'бюджет округа (района)'!BI102</f>
        <v>0</v>
      </c>
      <c r="DQ102" s="134">
        <f>'бюджет округа (района)'!BJ102+'бюджеты поселений'!BJ102</f>
        <v>0</v>
      </c>
      <c r="DR102" s="137">
        <f>'бюджет округа (района)'!BJ102</f>
        <v>0</v>
      </c>
      <c r="DS102" s="135">
        <f>IF($AY$102=0,1,DQ102/$AY$102-1)</f>
        <v>1</v>
      </c>
      <c r="DT102" s="135">
        <f>IF($AZ$102=0,1,DR102/$AZ$102-1)</f>
        <v>1</v>
      </c>
      <c r="DU102" s="135">
        <f t="shared" si="557"/>
        <v>1</v>
      </c>
      <c r="DV102" s="135">
        <f t="shared" si="558"/>
        <v>1</v>
      </c>
      <c r="DW102" s="167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228">
        <v>244</v>
      </c>
      <c r="B103" s="229"/>
      <c r="C103" s="134">
        <f>'бюджет округа (района)'!C103+'бюджеты поселений'!C103</f>
        <v>0</v>
      </c>
      <c r="D103" s="137">
        <f>'бюджет округа (района)'!C103</f>
        <v>0</v>
      </c>
      <c r="E103" s="134">
        <f t="shared" si="589"/>
        <v>0</v>
      </c>
      <c r="F103" s="137">
        <f t="shared" si="589"/>
        <v>0</v>
      </c>
      <c r="G103" s="134">
        <f>'бюджет округа (района)'!E103+'бюджеты поселений'!E103</f>
        <v>0</v>
      </c>
      <c r="H103" s="137">
        <f>'бюджет округа (района)'!E103</f>
        <v>0</v>
      </c>
      <c r="I103" s="134">
        <f>'бюджет округа (района)'!F103+'бюджеты поселений'!F103</f>
        <v>0</v>
      </c>
      <c r="J103" s="137">
        <f>'бюджет округа (района)'!F103</f>
        <v>0</v>
      </c>
      <c r="K103" s="137">
        <f t="shared" si="560"/>
        <v>0</v>
      </c>
      <c r="L103" s="137">
        <f t="shared" si="560"/>
        <v>0</v>
      </c>
      <c r="M103" s="134">
        <f>'бюджет округа (района)'!H103+'бюджеты поселений'!H103</f>
        <v>0</v>
      </c>
      <c r="N103" s="137">
        <f>'бюджет округа (района)'!H103</f>
        <v>0</v>
      </c>
      <c r="O103" s="137">
        <f t="shared" si="590"/>
        <v>0</v>
      </c>
      <c r="P103" s="137">
        <f t="shared" si="590"/>
        <v>0</v>
      </c>
      <c r="Q103" s="134">
        <f>'бюджет округа (района)'!J103+'бюджеты поселений'!J103</f>
        <v>0</v>
      </c>
      <c r="R103" s="137">
        <f>'бюджет округа (района)'!J103</f>
        <v>0</v>
      </c>
      <c r="S103" s="137">
        <f t="shared" si="562"/>
        <v>0</v>
      </c>
      <c r="T103" s="137">
        <f t="shared" si="562"/>
        <v>0</v>
      </c>
      <c r="U103" s="134">
        <f>'бюджет округа (района)'!L103+'бюджеты поселений'!L103</f>
        <v>0</v>
      </c>
      <c r="V103" s="137">
        <f>'бюджет округа (района)'!L103</f>
        <v>0</v>
      </c>
      <c r="W103" s="137">
        <f t="shared" si="563"/>
        <v>0</v>
      </c>
      <c r="X103" s="137">
        <f t="shared" si="563"/>
        <v>0</v>
      </c>
      <c r="Y103" s="134">
        <f>'бюджет округа (района)'!N103+'бюджеты поселений'!N103</f>
        <v>0</v>
      </c>
      <c r="Z103" s="137">
        <f>'бюджет округа (района)'!N103</f>
        <v>0</v>
      </c>
      <c r="AA103" s="137">
        <f t="shared" si="564"/>
        <v>0</v>
      </c>
      <c r="AB103" s="137">
        <f t="shared" si="564"/>
        <v>0</v>
      </c>
      <c r="AC103" s="134">
        <f>'бюджет округа (района)'!P103+'бюджеты поселений'!P103</f>
        <v>0</v>
      </c>
      <c r="AD103" s="137">
        <f>'бюджет округа (района)'!P103</f>
        <v>0</v>
      </c>
      <c r="AE103" s="137">
        <f t="shared" si="565"/>
        <v>0</v>
      </c>
      <c r="AF103" s="137">
        <f t="shared" si="565"/>
        <v>0</v>
      </c>
      <c r="AG103" s="134">
        <f>'бюджет округа (района)'!R103+'бюджеты поселений'!R103</f>
        <v>0</v>
      </c>
      <c r="AH103" s="137">
        <f>'бюджет округа (района)'!R103</f>
        <v>0</v>
      </c>
      <c r="AI103" s="137">
        <f t="shared" si="566"/>
        <v>0</v>
      </c>
      <c r="AJ103" s="137">
        <f t="shared" si="566"/>
        <v>0</v>
      </c>
      <c r="AK103" s="134">
        <f>'бюджет округа (района)'!T103+'бюджеты поселений'!T103</f>
        <v>0</v>
      </c>
      <c r="AL103" s="137">
        <f>'бюджет округа (района)'!T103</f>
        <v>0</v>
      </c>
      <c r="AM103" s="137">
        <f t="shared" si="567"/>
        <v>0</v>
      </c>
      <c r="AN103" s="137">
        <f t="shared" si="567"/>
        <v>0</v>
      </c>
      <c r="AO103" s="134">
        <f>'бюджет округа (района)'!V103+'бюджеты поселений'!V103</f>
        <v>0</v>
      </c>
      <c r="AP103" s="137">
        <f>'бюджет округа (района)'!V103</f>
        <v>0</v>
      </c>
      <c r="AQ103" s="137">
        <f t="shared" si="568"/>
        <v>0</v>
      </c>
      <c r="AR103" s="137">
        <f t="shared" si="568"/>
        <v>0</v>
      </c>
      <c r="AS103" s="134">
        <f>'бюджет округа (района)'!X103+'бюджеты поселений'!X103</f>
        <v>0</v>
      </c>
      <c r="AT103" s="137">
        <f>'бюджет округа (района)'!X103</f>
        <v>0</v>
      </c>
      <c r="AU103" s="137">
        <f t="shared" si="569"/>
        <v>0</v>
      </c>
      <c r="AV103" s="137">
        <f t="shared" si="569"/>
        <v>0</v>
      </c>
      <c r="AW103" s="134">
        <f>'бюджет округа (района)'!Z103+'бюджеты поселений'!Z103</f>
        <v>0</v>
      </c>
      <c r="AX103" s="137">
        <f>'бюджет округа (района)'!Z103</f>
        <v>0</v>
      </c>
      <c r="AY103" s="134">
        <f>'бюджет округа (района)'!AA103+'бюджеты поселений'!AA103</f>
        <v>0</v>
      </c>
      <c r="AZ103" s="137">
        <f>'бюджет округа (района)'!AA103</f>
        <v>0</v>
      </c>
      <c r="BA103" s="135">
        <f t="shared" si="581"/>
        <v>1</v>
      </c>
      <c r="BB103" s="135">
        <f t="shared" si="581"/>
        <v>1</v>
      </c>
      <c r="BC103" s="134">
        <f>'бюджет округа (района)'!AC103+'бюджеты поселений'!AC103</f>
        <v>0</v>
      </c>
      <c r="BD103" s="137">
        <f>'бюджет округа (района)'!AC103</f>
        <v>0</v>
      </c>
      <c r="BE103" s="134">
        <f>'бюджет округа (района)'!AD103+'бюджеты поселений'!AD103</f>
        <v>0</v>
      </c>
      <c r="BF103" s="137">
        <f>'бюджет округа (района)'!AD103</f>
        <v>0</v>
      </c>
      <c r="BG103" s="137">
        <f t="shared" si="570"/>
        <v>0</v>
      </c>
      <c r="BH103" s="137">
        <f t="shared" si="570"/>
        <v>0</v>
      </c>
      <c r="BI103" s="135">
        <f t="shared" si="546"/>
        <v>1</v>
      </c>
      <c r="BJ103" s="135">
        <f t="shared" si="546"/>
        <v>1</v>
      </c>
      <c r="BK103" s="134">
        <f>'бюджет округа (района)'!AG103+'бюджеты поселений'!AG103</f>
        <v>0</v>
      </c>
      <c r="BL103" s="137">
        <f>'бюджет округа (района)'!AG103</f>
        <v>0</v>
      </c>
      <c r="BM103" s="137">
        <f t="shared" si="571"/>
        <v>0</v>
      </c>
      <c r="BN103" s="137">
        <f t="shared" si="571"/>
        <v>0</v>
      </c>
      <c r="BO103" s="135">
        <f t="shared" si="547"/>
        <v>1</v>
      </c>
      <c r="BP103" s="135">
        <f t="shared" si="547"/>
        <v>1</v>
      </c>
      <c r="BQ103" s="134">
        <f>'бюджет округа (района)'!AJ103+'бюджеты поселений'!AJ103</f>
        <v>0</v>
      </c>
      <c r="BR103" s="137">
        <f>'бюджет округа (района)'!AJ103</f>
        <v>0</v>
      </c>
      <c r="BS103" s="137">
        <f t="shared" si="572"/>
        <v>0</v>
      </c>
      <c r="BT103" s="137">
        <f t="shared" si="572"/>
        <v>0</v>
      </c>
      <c r="BU103" s="135">
        <f t="shared" si="548"/>
        <v>1</v>
      </c>
      <c r="BV103" s="135">
        <f t="shared" si="548"/>
        <v>1</v>
      </c>
      <c r="BW103" s="134">
        <f>'бюджет округа (района)'!AM103+'бюджеты поселений'!AM103</f>
        <v>0</v>
      </c>
      <c r="BX103" s="137">
        <f>'бюджет округа (района)'!AM103</f>
        <v>0</v>
      </c>
      <c r="BY103" s="137">
        <f t="shared" si="573"/>
        <v>0</v>
      </c>
      <c r="BZ103" s="137">
        <f t="shared" si="573"/>
        <v>0</v>
      </c>
      <c r="CA103" s="135">
        <f t="shared" si="549"/>
        <v>1</v>
      </c>
      <c r="CB103" s="135">
        <f t="shared" si="549"/>
        <v>1</v>
      </c>
      <c r="CC103" s="134">
        <f>'бюджет округа (района)'!AP103+'бюджеты поселений'!AP103</f>
        <v>0</v>
      </c>
      <c r="CD103" s="137">
        <f>'бюджет округа (района)'!AP103</f>
        <v>0</v>
      </c>
      <c r="CE103" s="137">
        <f t="shared" si="574"/>
        <v>0</v>
      </c>
      <c r="CF103" s="137">
        <f t="shared" si="574"/>
        <v>0</v>
      </c>
      <c r="CG103" s="135">
        <f t="shared" si="550"/>
        <v>1</v>
      </c>
      <c r="CH103" s="135">
        <f t="shared" si="550"/>
        <v>1</v>
      </c>
      <c r="CI103" s="134">
        <f>'бюджет округа (района)'!AS103+'бюджеты поселений'!AS103</f>
        <v>0</v>
      </c>
      <c r="CJ103" s="137">
        <f>'бюджет округа (района)'!AS103</f>
        <v>0</v>
      </c>
      <c r="CK103" s="137">
        <f t="shared" si="575"/>
        <v>0</v>
      </c>
      <c r="CL103" s="137">
        <f t="shared" si="575"/>
        <v>0</v>
      </c>
      <c r="CM103" s="135">
        <f t="shared" si="551"/>
        <v>1</v>
      </c>
      <c r="CN103" s="135">
        <f t="shared" si="551"/>
        <v>1</v>
      </c>
      <c r="CO103" s="134">
        <f>'бюджет округа (района)'!AV103+'бюджеты поселений'!AV103</f>
        <v>0</v>
      </c>
      <c r="CP103" s="137">
        <f>'бюджет округа (района)'!AV103</f>
        <v>0</v>
      </c>
      <c r="CQ103" s="137">
        <f t="shared" si="576"/>
        <v>0</v>
      </c>
      <c r="CR103" s="137">
        <f t="shared" si="576"/>
        <v>0</v>
      </c>
      <c r="CS103" s="135">
        <f t="shared" si="552"/>
        <v>1</v>
      </c>
      <c r="CT103" s="135">
        <f t="shared" si="552"/>
        <v>1</v>
      </c>
      <c r="CU103" s="134">
        <f>'бюджет округа (района)'!AY103+'бюджеты поселений'!AY103</f>
        <v>0</v>
      </c>
      <c r="CV103" s="137">
        <f>'бюджет округа (района)'!AY103</f>
        <v>0</v>
      </c>
      <c r="CW103" s="137">
        <f t="shared" si="577"/>
        <v>0</v>
      </c>
      <c r="CX103" s="137">
        <f t="shared" si="577"/>
        <v>0</v>
      </c>
      <c r="CY103" s="135">
        <f t="shared" si="553"/>
        <v>1</v>
      </c>
      <c r="CZ103" s="135">
        <f t="shared" si="553"/>
        <v>1</v>
      </c>
      <c r="DA103" s="134">
        <f>'бюджет округа (района)'!BB103+'бюджеты поселений'!BB103</f>
        <v>0</v>
      </c>
      <c r="DB103" s="137">
        <f>'бюджет округа (района)'!BB103</f>
        <v>0</v>
      </c>
      <c r="DC103" s="137">
        <f t="shared" si="578"/>
        <v>0</v>
      </c>
      <c r="DD103" s="137">
        <f t="shared" si="578"/>
        <v>0</v>
      </c>
      <c r="DE103" s="135">
        <f t="shared" si="554"/>
        <v>1</v>
      </c>
      <c r="DF103" s="135">
        <f t="shared" si="554"/>
        <v>1</v>
      </c>
      <c r="DG103" s="134">
        <f>'бюджет округа (района)'!BE103+'бюджеты поселений'!BE103</f>
        <v>0</v>
      </c>
      <c r="DH103" s="137">
        <f>'бюджет округа (района)'!BE103</f>
        <v>0</v>
      </c>
      <c r="DI103" s="137">
        <f t="shared" si="579"/>
        <v>0</v>
      </c>
      <c r="DJ103" s="137">
        <f t="shared" si="579"/>
        <v>0</v>
      </c>
      <c r="DK103" s="135">
        <f t="shared" si="555"/>
        <v>1</v>
      </c>
      <c r="DL103" s="135">
        <f t="shared" si="555"/>
        <v>1</v>
      </c>
      <c r="DM103" s="134">
        <f>'бюджет округа (района)'!BH103+'бюджеты поселений'!BH103</f>
        <v>0</v>
      </c>
      <c r="DN103" s="137">
        <f>'бюджет округа (района)'!BH103</f>
        <v>0</v>
      </c>
      <c r="DO103" s="134">
        <f>'бюджет округа (района)'!BI103+'бюджеты поселений'!BI103</f>
        <v>0</v>
      </c>
      <c r="DP103" s="137">
        <f>'бюджет округа (района)'!BI103</f>
        <v>0</v>
      </c>
      <c r="DQ103" s="134">
        <f>'бюджет округа (района)'!BJ103+'бюджеты поселений'!BJ103</f>
        <v>0</v>
      </c>
      <c r="DR103" s="137">
        <f>'бюджет округа (района)'!BJ103</f>
        <v>0</v>
      </c>
      <c r="DS103" s="135">
        <f>IF($AY$103=0,1,DQ103/$AY$103-1)</f>
        <v>1</v>
      </c>
      <c r="DT103" s="135">
        <f>IF($AZ$103=0,1,DR103/$AZ$103-1)</f>
        <v>1</v>
      </c>
      <c r="DU103" s="135">
        <f t="shared" si="557"/>
        <v>1</v>
      </c>
      <c r="DV103" s="135">
        <f t="shared" si="558"/>
        <v>1</v>
      </c>
      <c r="DW103" s="167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228">
        <v>414</v>
      </c>
      <c r="B104" s="229"/>
      <c r="C104" s="134">
        <f>'бюджет округа (района)'!C104+'бюджеты поселений'!C104</f>
        <v>0</v>
      </c>
      <c r="D104" s="137">
        <f>'бюджет округа (района)'!C104</f>
        <v>0</v>
      </c>
      <c r="E104" s="134">
        <f t="shared" si="589"/>
        <v>0</v>
      </c>
      <c r="F104" s="137">
        <f t="shared" si="589"/>
        <v>0</v>
      </c>
      <c r="G104" s="134">
        <f>'бюджет округа (района)'!E104+'бюджеты поселений'!E104</f>
        <v>0</v>
      </c>
      <c r="H104" s="137">
        <f>'бюджет округа (района)'!E104</f>
        <v>0</v>
      </c>
      <c r="I104" s="134">
        <f>'бюджет округа (района)'!F104+'бюджеты поселений'!F104</f>
        <v>0</v>
      </c>
      <c r="J104" s="137">
        <f>'бюджет округа (района)'!F104</f>
        <v>0</v>
      </c>
      <c r="K104" s="137">
        <f t="shared" si="560"/>
        <v>0</v>
      </c>
      <c r="L104" s="137">
        <f t="shared" si="560"/>
        <v>0</v>
      </c>
      <c r="M104" s="134">
        <f>'бюджет округа (района)'!H104+'бюджеты поселений'!H104</f>
        <v>0</v>
      </c>
      <c r="N104" s="137">
        <f>'бюджет округа (района)'!H104</f>
        <v>0</v>
      </c>
      <c r="O104" s="137">
        <f t="shared" si="590"/>
        <v>0</v>
      </c>
      <c r="P104" s="137">
        <f t="shared" si="590"/>
        <v>0</v>
      </c>
      <c r="Q104" s="134">
        <f>'бюджет округа (района)'!J104+'бюджеты поселений'!J104</f>
        <v>0</v>
      </c>
      <c r="R104" s="137">
        <f>'бюджет округа (района)'!J104</f>
        <v>0</v>
      </c>
      <c r="S104" s="137">
        <f t="shared" si="562"/>
        <v>0</v>
      </c>
      <c r="T104" s="137">
        <f t="shared" si="562"/>
        <v>0</v>
      </c>
      <c r="U104" s="134">
        <f>'бюджет округа (района)'!L104+'бюджеты поселений'!L104</f>
        <v>0</v>
      </c>
      <c r="V104" s="137">
        <f>'бюджет округа (района)'!L104</f>
        <v>0</v>
      </c>
      <c r="W104" s="137">
        <f t="shared" si="563"/>
        <v>0</v>
      </c>
      <c r="X104" s="137">
        <f t="shared" si="563"/>
        <v>0</v>
      </c>
      <c r="Y104" s="134">
        <f>'бюджет округа (района)'!N104+'бюджеты поселений'!N104</f>
        <v>0</v>
      </c>
      <c r="Z104" s="137">
        <f>'бюджет округа (района)'!N104</f>
        <v>0</v>
      </c>
      <c r="AA104" s="137">
        <f t="shared" si="564"/>
        <v>0</v>
      </c>
      <c r="AB104" s="137">
        <f t="shared" si="564"/>
        <v>0</v>
      </c>
      <c r="AC104" s="134">
        <f>'бюджет округа (района)'!P104+'бюджеты поселений'!P104</f>
        <v>0</v>
      </c>
      <c r="AD104" s="137">
        <f>'бюджет округа (района)'!P104</f>
        <v>0</v>
      </c>
      <c r="AE104" s="137">
        <f t="shared" si="565"/>
        <v>0</v>
      </c>
      <c r="AF104" s="137">
        <f t="shared" si="565"/>
        <v>0</v>
      </c>
      <c r="AG104" s="134">
        <f>'бюджет округа (района)'!R104+'бюджеты поселений'!R104</f>
        <v>0</v>
      </c>
      <c r="AH104" s="137">
        <f>'бюджет округа (района)'!R104</f>
        <v>0</v>
      </c>
      <c r="AI104" s="137">
        <f t="shared" si="566"/>
        <v>0</v>
      </c>
      <c r="AJ104" s="137">
        <f t="shared" si="566"/>
        <v>0</v>
      </c>
      <c r="AK104" s="134">
        <f>'бюджет округа (района)'!T104+'бюджеты поселений'!T104</f>
        <v>0</v>
      </c>
      <c r="AL104" s="137">
        <f>'бюджет округа (района)'!T104</f>
        <v>0</v>
      </c>
      <c r="AM104" s="137">
        <f t="shared" si="567"/>
        <v>0</v>
      </c>
      <c r="AN104" s="137">
        <f t="shared" si="567"/>
        <v>0</v>
      </c>
      <c r="AO104" s="134">
        <f>'бюджет округа (района)'!V104+'бюджеты поселений'!V104</f>
        <v>0</v>
      </c>
      <c r="AP104" s="137">
        <f>'бюджет округа (района)'!V104</f>
        <v>0</v>
      </c>
      <c r="AQ104" s="137">
        <f t="shared" si="568"/>
        <v>0</v>
      </c>
      <c r="AR104" s="137">
        <f t="shared" si="568"/>
        <v>0</v>
      </c>
      <c r="AS104" s="134">
        <f>'бюджет округа (района)'!X104+'бюджеты поселений'!X104</f>
        <v>0</v>
      </c>
      <c r="AT104" s="137">
        <f>'бюджет округа (района)'!X104</f>
        <v>0</v>
      </c>
      <c r="AU104" s="137">
        <f t="shared" si="569"/>
        <v>0</v>
      </c>
      <c r="AV104" s="137">
        <f t="shared" si="569"/>
        <v>0</v>
      </c>
      <c r="AW104" s="134">
        <f>'бюджет округа (района)'!Z104+'бюджеты поселений'!Z104</f>
        <v>0</v>
      </c>
      <c r="AX104" s="137">
        <f>'бюджет округа (района)'!Z104</f>
        <v>0</v>
      </c>
      <c r="AY104" s="134">
        <f>'бюджет округа (района)'!AA104+'бюджеты поселений'!AA104</f>
        <v>0</v>
      </c>
      <c r="AZ104" s="137">
        <f>'бюджет округа (района)'!AA104</f>
        <v>0</v>
      </c>
      <c r="BA104" s="135">
        <f t="shared" si="581"/>
        <v>1</v>
      </c>
      <c r="BB104" s="135">
        <f t="shared" si="581"/>
        <v>1</v>
      </c>
      <c r="BC104" s="134">
        <f>'бюджет округа (района)'!AC104+'бюджеты поселений'!AC104</f>
        <v>0</v>
      </c>
      <c r="BD104" s="137">
        <f>'бюджет округа (района)'!AC104</f>
        <v>0</v>
      </c>
      <c r="BE104" s="134">
        <f>'бюджет округа (района)'!AD104+'бюджеты поселений'!AD104</f>
        <v>0</v>
      </c>
      <c r="BF104" s="137">
        <f>'бюджет округа (района)'!AD104</f>
        <v>0</v>
      </c>
      <c r="BG104" s="137">
        <f t="shared" si="570"/>
        <v>0</v>
      </c>
      <c r="BH104" s="137">
        <f t="shared" si="570"/>
        <v>0</v>
      </c>
      <c r="BI104" s="135">
        <f t="shared" si="546"/>
        <v>1</v>
      </c>
      <c r="BJ104" s="135">
        <f t="shared" si="546"/>
        <v>1</v>
      </c>
      <c r="BK104" s="134">
        <f>'бюджет округа (района)'!AG104+'бюджеты поселений'!AG104</f>
        <v>0</v>
      </c>
      <c r="BL104" s="137">
        <f>'бюджет округа (района)'!AG104</f>
        <v>0</v>
      </c>
      <c r="BM104" s="137">
        <f t="shared" si="571"/>
        <v>0</v>
      </c>
      <c r="BN104" s="137">
        <f t="shared" si="571"/>
        <v>0</v>
      </c>
      <c r="BO104" s="135">
        <f t="shared" si="547"/>
        <v>1</v>
      </c>
      <c r="BP104" s="135">
        <f t="shared" si="547"/>
        <v>1</v>
      </c>
      <c r="BQ104" s="134">
        <f>'бюджет округа (района)'!AJ104+'бюджеты поселений'!AJ104</f>
        <v>0</v>
      </c>
      <c r="BR104" s="137">
        <f>'бюджет округа (района)'!AJ104</f>
        <v>0</v>
      </c>
      <c r="BS104" s="137">
        <f t="shared" si="572"/>
        <v>0</v>
      </c>
      <c r="BT104" s="137">
        <f t="shared" si="572"/>
        <v>0</v>
      </c>
      <c r="BU104" s="135">
        <f t="shared" si="548"/>
        <v>1</v>
      </c>
      <c r="BV104" s="135">
        <f t="shared" si="548"/>
        <v>1</v>
      </c>
      <c r="BW104" s="134">
        <f>'бюджет округа (района)'!AM104+'бюджеты поселений'!AM104</f>
        <v>0</v>
      </c>
      <c r="BX104" s="137">
        <f>'бюджет округа (района)'!AM104</f>
        <v>0</v>
      </c>
      <c r="BY104" s="137">
        <f t="shared" si="573"/>
        <v>0</v>
      </c>
      <c r="BZ104" s="137">
        <f t="shared" si="573"/>
        <v>0</v>
      </c>
      <c r="CA104" s="135">
        <f t="shared" si="549"/>
        <v>1</v>
      </c>
      <c r="CB104" s="135">
        <f t="shared" si="549"/>
        <v>1</v>
      </c>
      <c r="CC104" s="134">
        <f>'бюджет округа (района)'!AP104+'бюджеты поселений'!AP104</f>
        <v>0</v>
      </c>
      <c r="CD104" s="137">
        <f>'бюджет округа (района)'!AP104</f>
        <v>0</v>
      </c>
      <c r="CE104" s="137">
        <f t="shared" si="574"/>
        <v>0</v>
      </c>
      <c r="CF104" s="137">
        <f t="shared" si="574"/>
        <v>0</v>
      </c>
      <c r="CG104" s="135">
        <f t="shared" si="550"/>
        <v>1</v>
      </c>
      <c r="CH104" s="135">
        <f t="shared" si="550"/>
        <v>1</v>
      </c>
      <c r="CI104" s="134">
        <f>'бюджет округа (района)'!AS104+'бюджеты поселений'!AS104</f>
        <v>0</v>
      </c>
      <c r="CJ104" s="137">
        <f>'бюджет округа (района)'!AS104</f>
        <v>0</v>
      </c>
      <c r="CK104" s="137">
        <f t="shared" si="575"/>
        <v>0</v>
      </c>
      <c r="CL104" s="137">
        <f t="shared" si="575"/>
        <v>0</v>
      </c>
      <c r="CM104" s="135">
        <f t="shared" si="551"/>
        <v>1</v>
      </c>
      <c r="CN104" s="135">
        <f t="shared" si="551"/>
        <v>1</v>
      </c>
      <c r="CO104" s="134">
        <f>'бюджет округа (района)'!AV104+'бюджеты поселений'!AV104</f>
        <v>0</v>
      </c>
      <c r="CP104" s="137">
        <f>'бюджет округа (района)'!AV104</f>
        <v>0</v>
      </c>
      <c r="CQ104" s="137">
        <f t="shared" si="576"/>
        <v>0</v>
      </c>
      <c r="CR104" s="137">
        <f t="shared" si="576"/>
        <v>0</v>
      </c>
      <c r="CS104" s="135">
        <f t="shared" si="552"/>
        <v>1</v>
      </c>
      <c r="CT104" s="135">
        <f t="shared" si="552"/>
        <v>1</v>
      </c>
      <c r="CU104" s="134">
        <f>'бюджет округа (района)'!AY104+'бюджеты поселений'!AY104</f>
        <v>0</v>
      </c>
      <c r="CV104" s="137">
        <f>'бюджет округа (района)'!AY104</f>
        <v>0</v>
      </c>
      <c r="CW104" s="137">
        <f t="shared" si="577"/>
        <v>0</v>
      </c>
      <c r="CX104" s="137">
        <f t="shared" si="577"/>
        <v>0</v>
      </c>
      <c r="CY104" s="135">
        <f t="shared" si="553"/>
        <v>1</v>
      </c>
      <c r="CZ104" s="135">
        <f t="shared" si="553"/>
        <v>1</v>
      </c>
      <c r="DA104" s="134">
        <f>'бюджет округа (района)'!BB104+'бюджеты поселений'!BB104</f>
        <v>0</v>
      </c>
      <c r="DB104" s="137">
        <f>'бюджет округа (района)'!BB104</f>
        <v>0</v>
      </c>
      <c r="DC104" s="137">
        <f t="shared" si="578"/>
        <v>0</v>
      </c>
      <c r="DD104" s="137">
        <f t="shared" si="578"/>
        <v>0</v>
      </c>
      <c r="DE104" s="135">
        <f t="shared" si="554"/>
        <v>1</v>
      </c>
      <c r="DF104" s="135">
        <f t="shared" si="554"/>
        <v>1</v>
      </c>
      <c r="DG104" s="134">
        <f>'бюджет округа (района)'!BE104+'бюджеты поселений'!BE104</f>
        <v>0</v>
      </c>
      <c r="DH104" s="137">
        <f>'бюджет округа (района)'!BE104</f>
        <v>0</v>
      </c>
      <c r="DI104" s="137">
        <f t="shared" si="579"/>
        <v>0</v>
      </c>
      <c r="DJ104" s="137">
        <f t="shared" si="579"/>
        <v>0</v>
      </c>
      <c r="DK104" s="135">
        <f t="shared" si="555"/>
        <v>1</v>
      </c>
      <c r="DL104" s="135">
        <f t="shared" si="555"/>
        <v>1</v>
      </c>
      <c r="DM104" s="134">
        <f>'бюджет округа (района)'!BH104+'бюджеты поселений'!BH104</f>
        <v>0</v>
      </c>
      <c r="DN104" s="137">
        <f>'бюджет округа (района)'!BH104</f>
        <v>0</v>
      </c>
      <c r="DO104" s="134">
        <f>'бюджет округа (района)'!BI104+'бюджеты поселений'!BI104</f>
        <v>0</v>
      </c>
      <c r="DP104" s="137">
        <f>'бюджет округа (района)'!BI104</f>
        <v>0</v>
      </c>
      <c r="DQ104" s="134">
        <f>'бюджет округа (района)'!BJ104+'бюджеты поселений'!BJ104</f>
        <v>0</v>
      </c>
      <c r="DR104" s="137">
        <f>'бюджет округа (района)'!BJ104</f>
        <v>0</v>
      </c>
      <c r="DS104" s="135">
        <f>IF($AY$104=0,1,DQ104/$AY$104-1)</f>
        <v>1</v>
      </c>
      <c r="DT104" s="135">
        <f>IF($AZ$104=0,1,DR104/$AZ$104-1)</f>
        <v>1</v>
      </c>
      <c r="DU104" s="135">
        <f t="shared" si="557"/>
        <v>1</v>
      </c>
      <c r="DV104" s="135">
        <f t="shared" si="558"/>
        <v>1</v>
      </c>
      <c r="DW104" s="167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228">
        <v>521</v>
      </c>
      <c r="B105" s="229"/>
      <c r="C105" s="134">
        <f>'бюджет округа (района)'!C105+'бюджеты поселений'!C105</f>
        <v>0</v>
      </c>
      <c r="D105" s="137">
        <f>'бюджет округа (района)'!C105</f>
        <v>0</v>
      </c>
      <c r="E105" s="134">
        <f t="shared" si="589"/>
        <v>0</v>
      </c>
      <c r="F105" s="137">
        <f t="shared" si="589"/>
        <v>0</v>
      </c>
      <c r="G105" s="134">
        <f>'бюджет округа (района)'!E105+'бюджеты поселений'!E105</f>
        <v>0</v>
      </c>
      <c r="H105" s="137">
        <f>'бюджет округа (района)'!E105</f>
        <v>0</v>
      </c>
      <c r="I105" s="134">
        <f>'бюджет округа (района)'!F105+'бюджеты поселений'!F105</f>
        <v>0</v>
      </c>
      <c r="J105" s="137">
        <f>'бюджет округа (района)'!F105</f>
        <v>0</v>
      </c>
      <c r="K105" s="137">
        <f t="shared" si="560"/>
        <v>0</v>
      </c>
      <c r="L105" s="137">
        <f t="shared" si="560"/>
        <v>0</v>
      </c>
      <c r="M105" s="134">
        <f>'бюджет округа (района)'!H105+'бюджеты поселений'!H105</f>
        <v>0</v>
      </c>
      <c r="N105" s="137">
        <f>'бюджет округа (района)'!H105</f>
        <v>0</v>
      </c>
      <c r="O105" s="137">
        <f t="shared" si="590"/>
        <v>0</v>
      </c>
      <c r="P105" s="137">
        <f t="shared" si="590"/>
        <v>0</v>
      </c>
      <c r="Q105" s="134">
        <f>'бюджет округа (района)'!J105+'бюджеты поселений'!J105</f>
        <v>0</v>
      </c>
      <c r="R105" s="137">
        <f>'бюджет округа (района)'!J105</f>
        <v>0</v>
      </c>
      <c r="S105" s="137">
        <f t="shared" si="562"/>
        <v>0</v>
      </c>
      <c r="T105" s="137">
        <f t="shared" si="562"/>
        <v>0</v>
      </c>
      <c r="U105" s="134">
        <f>'бюджет округа (района)'!L105+'бюджеты поселений'!L105</f>
        <v>0</v>
      </c>
      <c r="V105" s="137">
        <f>'бюджет округа (района)'!L105</f>
        <v>0</v>
      </c>
      <c r="W105" s="137">
        <f t="shared" si="563"/>
        <v>0</v>
      </c>
      <c r="X105" s="137">
        <f t="shared" si="563"/>
        <v>0</v>
      </c>
      <c r="Y105" s="134">
        <f>'бюджет округа (района)'!N105+'бюджеты поселений'!N105</f>
        <v>0</v>
      </c>
      <c r="Z105" s="137">
        <f>'бюджет округа (района)'!N105</f>
        <v>0</v>
      </c>
      <c r="AA105" s="137">
        <f t="shared" si="564"/>
        <v>0</v>
      </c>
      <c r="AB105" s="137">
        <f t="shared" si="564"/>
        <v>0</v>
      </c>
      <c r="AC105" s="134">
        <f>'бюджет округа (района)'!P105+'бюджеты поселений'!P105</f>
        <v>0</v>
      </c>
      <c r="AD105" s="137">
        <f>'бюджет округа (района)'!P105</f>
        <v>0</v>
      </c>
      <c r="AE105" s="137">
        <f t="shared" si="565"/>
        <v>0</v>
      </c>
      <c r="AF105" s="137">
        <f t="shared" si="565"/>
        <v>0</v>
      </c>
      <c r="AG105" s="134">
        <f>'бюджет округа (района)'!R105+'бюджеты поселений'!R105</f>
        <v>0</v>
      </c>
      <c r="AH105" s="137">
        <f>'бюджет округа (района)'!R105</f>
        <v>0</v>
      </c>
      <c r="AI105" s="137">
        <f t="shared" si="566"/>
        <v>0</v>
      </c>
      <c r="AJ105" s="137">
        <f t="shared" si="566"/>
        <v>0</v>
      </c>
      <c r="AK105" s="134">
        <f>'бюджет округа (района)'!T105+'бюджеты поселений'!T105</f>
        <v>0</v>
      </c>
      <c r="AL105" s="137">
        <f>'бюджет округа (района)'!T105</f>
        <v>0</v>
      </c>
      <c r="AM105" s="137">
        <f t="shared" si="567"/>
        <v>0</v>
      </c>
      <c r="AN105" s="137">
        <f t="shared" si="567"/>
        <v>0</v>
      </c>
      <c r="AO105" s="134">
        <f>'бюджет округа (района)'!V105+'бюджеты поселений'!V105</f>
        <v>0</v>
      </c>
      <c r="AP105" s="137">
        <f>'бюджет округа (района)'!V105</f>
        <v>0</v>
      </c>
      <c r="AQ105" s="137">
        <f t="shared" si="568"/>
        <v>0</v>
      </c>
      <c r="AR105" s="137">
        <f t="shared" si="568"/>
        <v>0</v>
      </c>
      <c r="AS105" s="134">
        <f>'бюджет округа (района)'!X105+'бюджеты поселений'!X105</f>
        <v>0</v>
      </c>
      <c r="AT105" s="137">
        <f>'бюджет округа (района)'!X105</f>
        <v>0</v>
      </c>
      <c r="AU105" s="137">
        <f t="shared" si="569"/>
        <v>0</v>
      </c>
      <c r="AV105" s="137">
        <f t="shared" si="569"/>
        <v>0</v>
      </c>
      <c r="AW105" s="134">
        <f>'бюджет округа (района)'!Z105+'бюджеты поселений'!Z105</f>
        <v>0</v>
      </c>
      <c r="AX105" s="137">
        <f>'бюджет округа (района)'!Z105</f>
        <v>0</v>
      </c>
      <c r="AY105" s="134">
        <f>'бюджет округа (района)'!AA105+'бюджеты поселений'!AA105</f>
        <v>0</v>
      </c>
      <c r="AZ105" s="137">
        <f>'бюджет округа (района)'!AA105</f>
        <v>0</v>
      </c>
      <c r="BA105" s="135">
        <f t="shared" si="581"/>
        <v>1</v>
      </c>
      <c r="BB105" s="135">
        <f t="shared" si="581"/>
        <v>1</v>
      </c>
      <c r="BC105" s="134">
        <f>'бюджет округа (района)'!AC105+'бюджеты поселений'!AC105</f>
        <v>0</v>
      </c>
      <c r="BD105" s="137">
        <f>'бюджет округа (района)'!AC105</f>
        <v>0</v>
      </c>
      <c r="BE105" s="134">
        <f>'бюджет округа (района)'!AD105+'бюджеты поселений'!AD105</f>
        <v>0</v>
      </c>
      <c r="BF105" s="137">
        <f>'бюджет округа (района)'!AD105</f>
        <v>0</v>
      </c>
      <c r="BG105" s="137">
        <f t="shared" si="570"/>
        <v>0</v>
      </c>
      <c r="BH105" s="137">
        <f t="shared" si="570"/>
        <v>0</v>
      </c>
      <c r="BI105" s="135">
        <f t="shared" si="546"/>
        <v>1</v>
      </c>
      <c r="BJ105" s="135">
        <f t="shared" si="546"/>
        <v>1</v>
      </c>
      <c r="BK105" s="134">
        <f>'бюджет округа (района)'!AG105+'бюджеты поселений'!AG105</f>
        <v>0</v>
      </c>
      <c r="BL105" s="137">
        <f>'бюджет округа (района)'!AG105</f>
        <v>0</v>
      </c>
      <c r="BM105" s="137">
        <f t="shared" si="571"/>
        <v>0</v>
      </c>
      <c r="BN105" s="137">
        <f t="shared" si="571"/>
        <v>0</v>
      </c>
      <c r="BO105" s="135">
        <f t="shared" si="547"/>
        <v>1</v>
      </c>
      <c r="BP105" s="135">
        <f t="shared" si="547"/>
        <v>1</v>
      </c>
      <c r="BQ105" s="134">
        <f>'бюджет округа (района)'!AJ105+'бюджеты поселений'!AJ105</f>
        <v>0</v>
      </c>
      <c r="BR105" s="137">
        <f>'бюджет округа (района)'!AJ105</f>
        <v>0</v>
      </c>
      <c r="BS105" s="137">
        <f t="shared" si="572"/>
        <v>0</v>
      </c>
      <c r="BT105" s="137">
        <f t="shared" si="572"/>
        <v>0</v>
      </c>
      <c r="BU105" s="135">
        <f t="shared" si="548"/>
        <v>1</v>
      </c>
      <c r="BV105" s="135">
        <f t="shared" si="548"/>
        <v>1</v>
      </c>
      <c r="BW105" s="134">
        <f>'бюджет округа (района)'!AM105+'бюджеты поселений'!AM105</f>
        <v>0</v>
      </c>
      <c r="BX105" s="137">
        <f>'бюджет округа (района)'!AM105</f>
        <v>0</v>
      </c>
      <c r="BY105" s="137">
        <f t="shared" si="573"/>
        <v>0</v>
      </c>
      <c r="BZ105" s="137">
        <f t="shared" si="573"/>
        <v>0</v>
      </c>
      <c r="CA105" s="135">
        <f t="shared" si="549"/>
        <v>1</v>
      </c>
      <c r="CB105" s="135">
        <f t="shared" si="549"/>
        <v>1</v>
      </c>
      <c r="CC105" s="134">
        <f>'бюджет округа (района)'!AP105+'бюджеты поселений'!AP105</f>
        <v>0</v>
      </c>
      <c r="CD105" s="137">
        <f>'бюджет округа (района)'!AP105</f>
        <v>0</v>
      </c>
      <c r="CE105" s="137">
        <f t="shared" si="574"/>
        <v>0</v>
      </c>
      <c r="CF105" s="137">
        <f t="shared" si="574"/>
        <v>0</v>
      </c>
      <c r="CG105" s="135">
        <f t="shared" si="550"/>
        <v>1</v>
      </c>
      <c r="CH105" s="135">
        <f t="shared" si="550"/>
        <v>1</v>
      </c>
      <c r="CI105" s="134">
        <f>'бюджет округа (района)'!AS105+'бюджеты поселений'!AS105</f>
        <v>0</v>
      </c>
      <c r="CJ105" s="137">
        <f>'бюджет округа (района)'!AS105</f>
        <v>0</v>
      </c>
      <c r="CK105" s="137">
        <f t="shared" si="575"/>
        <v>0</v>
      </c>
      <c r="CL105" s="137">
        <f t="shared" si="575"/>
        <v>0</v>
      </c>
      <c r="CM105" s="135">
        <f t="shared" si="551"/>
        <v>1</v>
      </c>
      <c r="CN105" s="135">
        <f t="shared" si="551"/>
        <v>1</v>
      </c>
      <c r="CO105" s="134">
        <f>'бюджет округа (района)'!AV105+'бюджеты поселений'!AV105</f>
        <v>0</v>
      </c>
      <c r="CP105" s="137">
        <f>'бюджет округа (района)'!AV105</f>
        <v>0</v>
      </c>
      <c r="CQ105" s="137">
        <f t="shared" si="576"/>
        <v>0</v>
      </c>
      <c r="CR105" s="137">
        <f t="shared" si="576"/>
        <v>0</v>
      </c>
      <c r="CS105" s="135">
        <f t="shared" si="552"/>
        <v>1</v>
      </c>
      <c r="CT105" s="135">
        <f t="shared" si="552"/>
        <v>1</v>
      </c>
      <c r="CU105" s="134">
        <f>'бюджет округа (района)'!AY105+'бюджеты поселений'!AY105</f>
        <v>0</v>
      </c>
      <c r="CV105" s="137">
        <f>'бюджет округа (района)'!AY105</f>
        <v>0</v>
      </c>
      <c r="CW105" s="137">
        <f t="shared" si="577"/>
        <v>0</v>
      </c>
      <c r="CX105" s="137">
        <f t="shared" si="577"/>
        <v>0</v>
      </c>
      <c r="CY105" s="135">
        <f t="shared" si="553"/>
        <v>1</v>
      </c>
      <c r="CZ105" s="135">
        <f t="shared" si="553"/>
        <v>1</v>
      </c>
      <c r="DA105" s="134">
        <f>'бюджет округа (района)'!BB105+'бюджеты поселений'!BB105</f>
        <v>0</v>
      </c>
      <c r="DB105" s="137">
        <f>'бюджет округа (района)'!BB105</f>
        <v>0</v>
      </c>
      <c r="DC105" s="137">
        <f t="shared" si="578"/>
        <v>0</v>
      </c>
      <c r="DD105" s="137">
        <f t="shared" si="578"/>
        <v>0</v>
      </c>
      <c r="DE105" s="135">
        <f t="shared" si="554"/>
        <v>1</v>
      </c>
      <c r="DF105" s="135">
        <f t="shared" si="554"/>
        <v>1</v>
      </c>
      <c r="DG105" s="134">
        <f>'бюджет округа (района)'!BE105+'бюджеты поселений'!BE105</f>
        <v>0</v>
      </c>
      <c r="DH105" s="137">
        <f>'бюджет округа (района)'!BE105</f>
        <v>0</v>
      </c>
      <c r="DI105" s="137">
        <f t="shared" si="579"/>
        <v>0</v>
      </c>
      <c r="DJ105" s="137">
        <f t="shared" si="579"/>
        <v>0</v>
      </c>
      <c r="DK105" s="135">
        <f t="shared" si="555"/>
        <v>1</v>
      </c>
      <c r="DL105" s="135">
        <f t="shared" si="555"/>
        <v>1</v>
      </c>
      <c r="DM105" s="134">
        <f>'бюджет округа (района)'!BH105+'бюджеты поселений'!BH105</f>
        <v>0</v>
      </c>
      <c r="DN105" s="137">
        <f>'бюджет округа (района)'!BH105</f>
        <v>0</v>
      </c>
      <c r="DO105" s="134">
        <f>'бюджет округа (района)'!BI105+'бюджеты поселений'!BI105</f>
        <v>0</v>
      </c>
      <c r="DP105" s="137">
        <f>'бюджет округа (района)'!BI105</f>
        <v>0</v>
      </c>
      <c r="DQ105" s="134">
        <f>'бюджет округа (района)'!BJ105+'бюджеты поселений'!BJ105</f>
        <v>0</v>
      </c>
      <c r="DR105" s="137">
        <f>'бюджет округа (района)'!BJ105</f>
        <v>0</v>
      </c>
      <c r="DS105" s="135">
        <f>IF($AY$105=0,1,DQ105/$AY$105-1)</f>
        <v>1</v>
      </c>
      <c r="DT105" s="135">
        <f>IF($AZ$105=0,1,DR105/$AZ$105-1)</f>
        <v>1</v>
      </c>
      <c r="DU105" s="135">
        <f t="shared" si="557"/>
        <v>1</v>
      </c>
      <c r="DV105" s="135">
        <f t="shared" si="558"/>
        <v>1</v>
      </c>
      <c r="DW105" s="167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228">
        <v>831</v>
      </c>
      <c r="B106" s="229"/>
      <c r="C106" s="134">
        <f>'бюджет округа (района)'!C106+'бюджеты поселений'!C106</f>
        <v>0</v>
      </c>
      <c r="D106" s="137">
        <f>'бюджет округа (района)'!C106</f>
        <v>0</v>
      </c>
      <c r="E106" s="134">
        <f t="shared" si="589"/>
        <v>0</v>
      </c>
      <c r="F106" s="137">
        <f t="shared" si="589"/>
        <v>0</v>
      </c>
      <c r="G106" s="134">
        <f>'бюджет округа (района)'!E106+'бюджеты поселений'!E106</f>
        <v>0</v>
      </c>
      <c r="H106" s="137">
        <f>'бюджет округа (района)'!E106</f>
        <v>0</v>
      </c>
      <c r="I106" s="134">
        <f>'бюджет округа (района)'!F106+'бюджеты поселений'!F106</f>
        <v>0</v>
      </c>
      <c r="J106" s="137">
        <f>'бюджет округа (района)'!F106</f>
        <v>0</v>
      </c>
      <c r="K106" s="137">
        <f t="shared" si="560"/>
        <v>0</v>
      </c>
      <c r="L106" s="137">
        <f t="shared" si="560"/>
        <v>0</v>
      </c>
      <c r="M106" s="134">
        <f>'бюджет округа (района)'!H106+'бюджеты поселений'!H106</f>
        <v>0</v>
      </c>
      <c r="N106" s="137">
        <f>'бюджет округа (района)'!H106</f>
        <v>0</v>
      </c>
      <c r="O106" s="137">
        <f t="shared" si="590"/>
        <v>0</v>
      </c>
      <c r="P106" s="137">
        <f t="shared" si="590"/>
        <v>0</v>
      </c>
      <c r="Q106" s="134">
        <f>'бюджет округа (района)'!J106+'бюджеты поселений'!J106</f>
        <v>0</v>
      </c>
      <c r="R106" s="137">
        <f>'бюджет округа (района)'!J106</f>
        <v>0</v>
      </c>
      <c r="S106" s="137">
        <f t="shared" si="562"/>
        <v>0</v>
      </c>
      <c r="T106" s="137">
        <f t="shared" si="562"/>
        <v>0</v>
      </c>
      <c r="U106" s="134">
        <f>'бюджет округа (района)'!L106+'бюджеты поселений'!L106</f>
        <v>0</v>
      </c>
      <c r="V106" s="137">
        <f>'бюджет округа (района)'!L106</f>
        <v>0</v>
      </c>
      <c r="W106" s="137">
        <f t="shared" si="563"/>
        <v>0</v>
      </c>
      <c r="X106" s="137">
        <f t="shared" si="563"/>
        <v>0</v>
      </c>
      <c r="Y106" s="134">
        <f>'бюджет округа (района)'!N106+'бюджеты поселений'!N106</f>
        <v>0</v>
      </c>
      <c r="Z106" s="137">
        <f>'бюджет округа (района)'!N106</f>
        <v>0</v>
      </c>
      <c r="AA106" s="137">
        <f t="shared" si="564"/>
        <v>0</v>
      </c>
      <c r="AB106" s="137">
        <f t="shared" si="564"/>
        <v>0</v>
      </c>
      <c r="AC106" s="134">
        <f>'бюджет округа (района)'!P106+'бюджеты поселений'!P106</f>
        <v>0</v>
      </c>
      <c r="AD106" s="137">
        <f>'бюджет округа (района)'!P106</f>
        <v>0</v>
      </c>
      <c r="AE106" s="137">
        <f t="shared" si="565"/>
        <v>0</v>
      </c>
      <c r="AF106" s="137">
        <f t="shared" si="565"/>
        <v>0</v>
      </c>
      <c r="AG106" s="134">
        <f>'бюджет округа (района)'!R106+'бюджеты поселений'!R106</f>
        <v>0</v>
      </c>
      <c r="AH106" s="137">
        <f>'бюджет округа (района)'!R106</f>
        <v>0</v>
      </c>
      <c r="AI106" s="137">
        <f t="shared" si="566"/>
        <v>0</v>
      </c>
      <c r="AJ106" s="137">
        <f t="shared" si="566"/>
        <v>0</v>
      </c>
      <c r="AK106" s="134">
        <f>'бюджет округа (района)'!T106+'бюджеты поселений'!T106</f>
        <v>0</v>
      </c>
      <c r="AL106" s="137">
        <f>'бюджет округа (района)'!T106</f>
        <v>0</v>
      </c>
      <c r="AM106" s="137">
        <f t="shared" si="567"/>
        <v>0</v>
      </c>
      <c r="AN106" s="137">
        <f t="shared" si="567"/>
        <v>0</v>
      </c>
      <c r="AO106" s="134">
        <f>'бюджет округа (района)'!V106+'бюджеты поселений'!V106</f>
        <v>0</v>
      </c>
      <c r="AP106" s="137">
        <f>'бюджет округа (района)'!V106</f>
        <v>0</v>
      </c>
      <c r="AQ106" s="137">
        <f t="shared" si="568"/>
        <v>0</v>
      </c>
      <c r="AR106" s="137">
        <f t="shared" si="568"/>
        <v>0</v>
      </c>
      <c r="AS106" s="134">
        <f>'бюджет округа (района)'!X106+'бюджеты поселений'!X106</f>
        <v>0</v>
      </c>
      <c r="AT106" s="137">
        <f>'бюджет округа (района)'!X106</f>
        <v>0</v>
      </c>
      <c r="AU106" s="137">
        <f t="shared" si="569"/>
        <v>0</v>
      </c>
      <c r="AV106" s="137">
        <f t="shared" si="569"/>
        <v>0</v>
      </c>
      <c r="AW106" s="134">
        <f>'бюджет округа (района)'!Z106+'бюджеты поселений'!Z106</f>
        <v>0</v>
      </c>
      <c r="AX106" s="137">
        <f>'бюджет округа (района)'!Z106</f>
        <v>0</v>
      </c>
      <c r="AY106" s="134">
        <f>'бюджет округа (района)'!AA106+'бюджеты поселений'!AA106</f>
        <v>0</v>
      </c>
      <c r="AZ106" s="137">
        <f>'бюджет округа (района)'!AA106</f>
        <v>0</v>
      </c>
      <c r="BA106" s="135">
        <f t="shared" si="581"/>
        <v>1</v>
      </c>
      <c r="BB106" s="135">
        <f t="shared" si="581"/>
        <v>1</v>
      </c>
      <c r="BC106" s="134">
        <f>'бюджет округа (района)'!AC106+'бюджеты поселений'!AC106</f>
        <v>0</v>
      </c>
      <c r="BD106" s="137">
        <f>'бюджет округа (района)'!AC106</f>
        <v>0</v>
      </c>
      <c r="BE106" s="134">
        <f>'бюджет округа (района)'!AD106+'бюджеты поселений'!AD106</f>
        <v>0</v>
      </c>
      <c r="BF106" s="137">
        <f>'бюджет округа (района)'!AD106</f>
        <v>0</v>
      </c>
      <c r="BG106" s="137">
        <f t="shared" si="570"/>
        <v>0</v>
      </c>
      <c r="BH106" s="137">
        <f t="shared" si="570"/>
        <v>0</v>
      </c>
      <c r="BI106" s="135">
        <f t="shared" si="546"/>
        <v>1</v>
      </c>
      <c r="BJ106" s="135">
        <f t="shared" si="546"/>
        <v>1</v>
      </c>
      <c r="BK106" s="134">
        <f>'бюджет округа (района)'!AG106+'бюджеты поселений'!AG106</f>
        <v>0</v>
      </c>
      <c r="BL106" s="137">
        <f>'бюджет округа (района)'!AG106</f>
        <v>0</v>
      </c>
      <c r="BM106" s="137">
        <f t="shared" si="571"/>
        <v>0</v>
      </c>
      <c r="BN106" s="137">
        <f t="shared" si="571"/>
        <v>0</v>
      </c>
      <c r="BO106" s="135">
        <f t="shared" si="547"/>
        <v>1</v>
      </c>
      <c r="BP106" s="135">
        <f t="shared" si="547"/>
        <v>1</v>
      </c>
      <c r="BQ106" s="134">
        <f>'бюджет округа (района)'!AJ106+'бюджеты поселений'!AJ106</f>
        <v>0</v>
      </c>
      <c r="BR106" s="137">
        <f>'бюджет округа (района)'!AJ106</f>
        <v>0</v>
      </c>
      <c r="BS106" s="137">
        <f t="shared" si="572"/>
        <v>0</v>
      </c>
      <c r="BT106" s="137">
        <f t="shared" si="572"/>
        <v>0</v>
      </c>
      <c r="BU106" s="135">
        <f t="shared" si="548"/>
        <v>1</v>
      </c>
      <c r="BV106" s="135">
        <f t="shared" si="548"/>
        <v>1</v>
      </c>
      <c r="BW106" s="134">
        <f>'бюджет округа (района)'!AM106+'бюджеты поселений'!AM106</f>
        <v>0</v>
      </c>
      <c r="BX106" s="137">
        <f>'бюджет округа (района)'!AM106</f>
        <v>0</v>
      </c>
      <c r="BY106" s="137">
        <f t="shared" si="573"/>
        <v>0</v>
      </c>
      <c r="BZ106" s="137">
        <f t="shared" si="573"/>
        <v>0</v>
      </c>
      <c r="CA106" s="135">
        <f t="shared" si="549"/>
        <v>1</v>
      </c>
      <c r="CB106" s="135">
        <f t="shared" si="549"/>
        <v>1</v>
      </c>
      <c r="CC106" s="134">
        <f>'бюджет округа (района)'!AP106+'бюджеты поселений'!AP106</f>
        <v>0</v>
      </c>
      <c r="CD106" s="137">
        <f>'бюджет округа (района)'!AP106</f>
        <v>0</v>
      </c>
      <c r="CE106" s="137">
        <f t="shared" si="574"/>
        <v>0</v>
      </c>
      <c r="CF106" s="137">
        <f t="shared" si="574"/>
        <v>0</v>
      </c>
      <c r="CG106" s="135">
        <f t="shared" si="550"/>
        <v>1</v>
      </c>
      <c r="CH106" s="135">
        <f t="shared" si="550"/>
        <v>1</v>
      </c>
      <c r="CI106" s="134">
        <f>'бюджет округа (района)'!AS106+'бюджеты поселений'!AS106</f>
        <v>0</v>
      </c>
      <c r="CJ106" s="137">
        <f>'бюджет округа (района)'!AS106</f>
        <v>0</v>
      </c>
      <c r="CK106" s="137">
        <f t="shared" si="575"/>
        <v>0</v>
      </c>
      <c r="CL106" s="137">
        <f t="shared" si="575"/>
        <v>0</v>
      </c>
      <c r="CM106" s="135">
        <f t="shared" si="551"/>
        <v>1</v>
      </c>
      <c r="CN106" s="135">
        <f t="shared" si="551"/>
        <v>1</v>
      </c>
      <c r="CO106" s="134">
        <f>'бюджет округа (района)'!AV106+'бюджеты поселений'!AV106</f>
        <v>0</v>
      </c>
      <c r="CP106" s="137">
        <f>'бюджет округа (района)'!AV106</f>
        <v>0</v>
      </c>
      <c r="CQ106" s="137">
        <f t="shared" si="576"/>
        <v>0</v>
      </c>
      <c r="CR106" s="137">
        <f t="shared" si="576"/>
        <v>0</v>
      </c>
      <c r="CS106" s="135">
        <f t="shared" si="552"/>
        <v>1</v>
      </c>
      <c r="CT106" s="135">
        <f t="shared" si="552"/>
        <v>1</v>
      </c>
      <c r="CU106" s="134">
        <f>'бюджет округа (района)'!AY106+'бюджеты поселений'!AY106</f>
        <v>0</v>
      </c>
      <c r="CV106" s="137">
        <f>'бюджет округа (района)'!AY106</f>
        <v>0</v>
      </c>
      <c r="CW106" s="137">
        <f t="shared" si="577"/>
        <v>0</v>
      </c>
      <c r="CX106" s="137">
        <f t="shared" si="577"/>
        <v>0</v>
      </c>
      <c r="CY106" s="135">
        <f t="shared" si="553"/>
        <v>1</v>
      </c>
      <c r="CZ106" s="135">
        <f t="shared" si="553"/>
        <v>1</v>
      </c>
      <c r="DA106" s="134">
        <f>'бюджет округа (района)'!BB106+'бюджеты поселений'!BB106</f>
        <v>0</v>
      </c>
      <c r="DB106" s="137">
        <f>'бюджет округа (района)'!BB106</f>
        <v>0</v>
      </c>
      <c r="DC106" s="137">
        <f t="shared" si="578"/>
        <v>0</v>
      </c>
      <c r="DD106" s="137">
        <f t="shared" si="578"/>
        <v>0</v>
      </c>
      <c r="DE106" s="135">
        <f t="shared" si="554"/>
        <v>1</v>
      </c>
      <c r="DF106" s="135">
        <f t="shared" si="554"/>
        <v>1</v>
      </c>
      <c r="DG106" s="134">
        <f>'бюджет округа (района)'!BE106+'бюджеты поселений'!BE106</f>
        <v>0</v>
      </c>
      <c r="DH106" s="137">
        <f>'бюджет округа (района)'!BE106</f>
        <v>0</v>
      </c>
      <c r="DI106" s="137">
        <f t="shared" si="579"/>
        <v>0</v>
      </c>
      <c r="DJ106" s="137">
        <f t="shared" si="579"/>
        <v>0</v>
      </c>
      <c r="DK106" s="135">
        <f t="shared" si="555"/>
        <v>1</v>
      </c>
      <c r="DL106" s="135">
        <f t="shared" si="555"/>
        <v>1</v>
      </c>
      <c r="DM106" s="134">
        <f>'бюджет округа (района)'!BH106+'бюджеты поселений'!BH106</f>
        <v>0</v>
      </c>
      <c r="DN106" s="137">
        <f>'бюджет округа (района)'!BH106</f>
        <v>0</v>
      </c>
      <c r="DO106" s="134">
        <f>'бюджет округа (района)'!BI106+'бюджеты поселений'!BI106</f>
        <v>0</v>
      </c>
      <c r="DP106" s="137">
        <f>'бюджет округа (района)'!BI106</f>
        <v>0</v>
      </c>
      <c r="DQ106" s="134">
        <f>'бюджет округа (района)'!BJ106+'бюджеты поселений'!BJ106</f>
        <v>0</v>
      </c>
      <c r="DR106" s="137">
        <f>'бюджет округа (района)'!BJ106</f>
        <v>0</v>
      </c>
      <c r="DS106" s="135">
        <f t="shared" ref="DS106:DS112" si="591">IF($AY$105=0,1,DQ106/$AY$105-1)</f>
        <v>1</v>
      </c>
      <c r="DT106" s="135">
        <f t="shared" ref="DT106:DT112" si="592">IF($AZ$105=0,1,DR106/$AZ$105-1)</f>
        <v>1</v>
      </c>
      <c r="DU106" s="135">
        <f t="shared" si="557"/>
        <v>1</v>
      </c>
      <c r="DV106" s="135">
        <f t="shared" si="558"/>
        <v>1</v>
      </c>
      <c r="DW106" s="167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228">
        <v>851</v>
      </c>
      <c r="B107" s="229"/>
      <c r="C107" s="134">
        <f>'бюджет округа (района)'!C107+'бюджеты поселений'!C107</f>
        <v>0</v>
      </c>
      <c r="D107" s="137">
        <f>'бюджет округа (района)'!C107</f>
        <v>0</v>
      </c>
      <c r="E107" s="134">
        <f t="shared" si="589"/>
        <v>0</v>
      </c>
      <c r="F107" s="137">
        <f t="shared" si="589"/>
        <v>0</v>
      </c>
      <c r="G107" s="134">
        <f>'бюджет округа (района)'!E107+'бюджеты поселений'!E107</f>
        <v>0</v>
      </c>
      <c r="H107" s="137">
        <f>'бюджет округа (района)'!E107</f>
        <v>0</v>
      </c>
      <c r="I107" s="134">
        <f>'бюджет округа (района)'!F107+'бюджеты поселений'!F107</f>
        <v>0</v>
      </c>
      <c r="J107" s="137">
        <f>'бюджет округа (района)'!F107</f>
        <v>0</v>
      </c>
      <c r="K107" s="137">
        <f t="shared" si="560"/>
        <v>0</v>
      </c>
      <c r="L107" s="137">
        <f t="shared" si="560"/>
        <v>0</v>
      </c>
      <c r="M107" s="134">
        <f>'бюджет округа (района)'!H107+'бюджеты поселений'!H107</f>
        <v>0</v>
      </c>
      <c r="N107" s="137">
        <f>'бюджет округа (района)'!H107</f>
        <v>0</v>
      </c>
      <c r="O107" s="137">
        <f t="shared" si="590"/>
        <v>0</v>
      </c>
      <c r="P107" s="137">
        <f t="shared" si="590"/>
        <v>0</v>
      </c>
      <c r="Q107" s="134">
        <f>'бюджет округа (района)'!J107+'бюджеты поселений'!J107</f>
        <v>0</v>
      </c>
      <c r="R107" s="137">
        <f>'бюджет округа (района)'!J107</f>
        <v>0</v>
      </c>
      <c r="S107" s="137">
        <f t="shared" si="562"/>
        <v>0</v>
      </c>
      <c r="T107" s="137">
        <f t="shared" si="562"/>
        <v>0</v>
      </c>
      <c r="U107" s="134">
        <f>'бюджет округа (района)'!L107+'бюджеты поселений'!L107</f>
        <v>0</v>
      </c>
      <c r="V107" s="137">
        <f>'бюджет округа (района)'!L107</f>
        <v>0</v>
      </c>
      <c r="W107" s="137">
        <f t="shared" si="563"/>
        <v>0</v>
      </c>
      <c r="X107" s="137">
        <f t="shared" si="563"/>
        <v>0</v>
      </c>
      <c r="Y107" s="134">
        <f>'бюджет округа (района)'!N107+'бюджеты поселений'!N107</f>
        <v>0</v>
      </c>
      <c r="Z107" s="137">
        <f>'бюджет округа (района)'!N107</f>
        <v>0</v>
      </c>
      <c r="AA107" s="137">
        <f t="shared" si="564"/>
        <v>0</v>
      </c>
      <c r="AB107" s="137">
        <f t="shared" si="564"/>
        <v>0</v>
      </c>
      <c r="AC107" s="134">
        <f>'бюджет округа (района)'!P107+'бюджеты поселений'!P107</f>
        <v>0</v>
      </c>
      <c r="AD107" s="137">
        <f>'бюджет округа (района)'!P107</f>
        <v>0</v>
      </c>
      <c r="AE107" s="137">
        <f t="shared" si="565"/>
        <v>0</v>
      </c>
      <c r="AF107" s="137">
        <f t="shared" si="565"/>
        <v>0</v>
      </c>
      <c r="AG107" s="134">
        <f>'бюджет округа (района)'!R107+'бюджеты поселений'!R107</f>
        <v>0</v>
      </c>
      <c r="AH107" s="137">
        <f>'бюджет округа (района)'!R107</f>
        <v>0</v>
      </c>
      <c r="AI107" s="137">
        <f t="shared" si="566"/>
        <v>0</v>
      </c>
      <c r="AJ107" s="137">
        <f t="shared" si="566"/>
        <v>0</v>
      </c>
      <c r="AK107" s="134">
        <f>'бюджет округа (района)'!T107+'бюджеты поселений'!T107</f>
        <v>0</v>
      </c>
      <c r="AL107" s="137">
        <f>'бюджет округа (района)'!T107</f>
        <v>0</v>
      </c>
      <c r="AM107" s="137">
        <f t="shared" si="567"/>
        <v>0</v>
      </c>
      <c r="AN107" s="137">
        <f t="shared" si="567"/>
        <v>0</v>
      </c>
      <c r="AO107" s="134">
        <f>'бюджет округа (района)'!V107+'бюджеты поселений'!V107</f>
        <v>0</v>
      </c>
      <c r="AP107" s="137">
        <f>'бюджет округа (района)'!V107</f>
        <v>0</v>
      </c>
      <c r="AQ107" s="137">
        <f t="shared" si="568"/>
        <v>0</v>
      </c>
      <c r="AR107" s="137">
        <f t="shared" si="568"/>
        <v>0</v>
      </c>
      <c r="AS107" s="134">
        <f>'бюджет округа (района)'!X107+'бюджеты поселений'!X107</f>
        <v>0</v>
      </c>
      <c r="AT107" s="137">
        <f>'бюджет округа (района)'!X107</f>
        <v>0</v>
      </c>
      <c r="AU107" s="137">
        <f t="shared" si="569"/>
        <v>0</v>
      </c>
      <c r="AV107" s="137">
        <f t="shared" si="569"/>
        <v>0</v>
      </c>
      <c r="AW107" s="134">
        <f>'бюджет округа (района)'!Z107+'бюджеты поселений'!Z107</f>
        <v>0</v>
      </c>
      <c r="AX107" s="137">
        <f>'бюджет округа (района)'!Z107</f>
        <v>0</v>
      </c>
      <c r="AY107" s="134">
        <f>'бюджет округа (района)'!AA107+'бюджеты поселений'!AA107</f>
        <v>0</v>
      </c>
      <c r="AZ107" s="137">
        <f>'бюджет округа (района)'!AA107</f>
        <v>0</v>
      </c>
      <c r="BA107" s="135">
        <f t="shared" si="581"/>
        <v>1</v>
      </c>
      <c r="BB107" s="135">
        <f t="shared" si="581"/>
        <v>1</v>
      </c>
      <c r="BC107" s="134">
        <f>'бюджет округа (района)'!AC107+'бюджеты поселений'!AC107</f>
        <v>0</v>
      </c>
      <c r="BD107" s="137">
        <f>'бюджет округа (района)'!AC107</f>
        <v>0</v>
      </c>
      <c r="BE107" s="134">
        <f>'бюджет округа (района)'!AD107+'бюджеты поселений'!AD107</f>
        <v>0</v>
      </c>
      <c r="BF107" s="137">
        <f>'бюджет округа (района)'!AD107</f>
        <v>0</v>
      </c>
      <c r="BG107" s="137">
        <f t="shared" si="570"/>
        <v>0</v>
      </c>
      <c r="BH107" s="137">
        <f t="shared" si="570"/>
        <v>0</v>
      </c>
      <c r="BI107" s="135">
        <f t="shared" si="546"/>
        <v>1</v>
      </c>
      <c r="BJ107" s="135">
        <f t="shared" si="546"/>
        <v>1</v>
      </c>
      <c r="BK107" s="134">
        <f>'бюджет округа (района)'!AG107+'бюджеты поселений'!AG107</f>
        <v>0</v>
      </c>
      <c r="BL107" s="137">
        <f>'бюджет округа (района)'!AG107</f>
        <v>0</v>
      </c>
      <c r="BM107" s="137">
        <f t="shared" si="571"/>
        <v>0</v>
      </c>
      <c r="BN107" s="137">
        <f t="shared" si="571"/>
        <v>0</v>
      </c>
      <c r="BO107" s="135">
        <f t="shared" si="547"/>
        <v>1</v>
      </c>
      <c r="BP107" s="135">
        <f t="shared" si="547"/>
        <v>1</v>
      </c>
      <c r="BQ107" s="134">
        <f>'бюджет округа (района)'!AJ107+'бюджеты поселений'!AJ107</f>
        <v>0</v>
      </c>
      <c r="BR107" s="137">
        <f>'бюджет округа (района)'!AJ107</f>
        <v>0</v>
      </c>
      <c r="BS107" s="137">
        <f t="shared" si="572"/>
        <v>0</v>
      </c>
      <c r="BT107" s="137">
        <f t="shared" si="572"/>
        <v>0</v>
      </c>
      <c r="BU107" s="135">
        <f t="shared" si="548"/>
        <v>1</v>
      </c>
      <c r="BV107" s="135">
        <f t="shared" si="548"/>
        <v>1</v>
      </c>
      <c r="BW107" s="134">
        <f>'бюджет округа (района)'!AM107+'бюджеты поселений'!AM107</f>
        <v>0</v>
      </c>
      <c r="BX107" s="137">
        <f>'бюджет округа (района)'!AM107</f>
        <v>0</v>
      </c>
      <c r="BY107" s="137">
        <f t="shared" si="573"/>
        <v>0</v>
      </c>
      <c r="BZ107" s="137">
        <f t="shared" si="573"/>
        <v>0</v>
      </c>
      <c r="CA107" s="135">
        <f t="shared" si="549"/>
        <v>1</v>
      </c>
      <c r="CB107" s="135">
        <f t="shared" si="549"/>
        <v>1</v>
      </c>
      <c r="CC107" s="134">
        <f>'бюджет округа (района)'!AP107+'бюджеты поселений'!AP107</f>
        <v>0</v>
      </c>
      <c r="CD107" s="137">
        <f>'бюджет округа (района)'!AP107</f>
        <v>0</v>
      </c>
      <c r="CE107" s="137">
        <f t="shared" si="574"/>
        <v>0</v>
      </c>
      <c r="CF107" s="137">
        <f t="shared" si="574"/>
        <v>0</v>
      </c>
      <c r="CG107" s="135">
        <f t="shared" si="550"/>
        <v>1</v>
      </c>
      <c r="CH107" s="135">
        <f t="shared" si="550"/>
        <v>1</v>
      </c>
      <c r="CI107" s="134">
        <f>'бюджет округа (района)'!AS107+'бюджеты поселений'!AS107</f>
        <v>0</v>
      </c>
      <c r="CJ107" s="137">
        <f>'бюджет округа (района)'!AS107</f>
        <v>0</v>
      </c>
      <c r="CK107" s="137">
        <f t="shared" si="575"/>
        <v>0</v>
      </c>
      <c r="CL107" s="137">
        <f t="shared" si="575"/>
        <v>0</v>
      </c>
      <c r="CM107" s="135">
        <f t="shared" si="551"/>
        <v>1</v>
      </c>
      <c r="CN107" s="135">
        <f t="shared" si="551"/>
        <v>1</v>
      </c>
      <c r="CO107" s="134">
        <f>'бюджет округа (района)'!AV107+'бюджеты поселений'!AV107</f>
        <v>0</v>
      </c>
      <c r="CP107" s="137">
        <f>'бюджет округа (района)'!AV107</f>
        <v>0</v>
      </c>
      <c r="CQ107" s="137">
        <f t="shared" si="576"/>
        <v>0</v>
      </c>
      <c r="CR107" s="137">
        <f t="shared" si="576"/>
        <v>0</v>
      </c>
      <c r="CS107" s="135">
        <f t="shared" si="552"/>
        <v>1</v>
      </c>
      <c r="CT107" s="135">
        <f t="shared" si="552"/>
        <v>1</v>
      </c>
      <c r="CU107" s="134">
        <f>'бюджет округа (района)'!AY107+'бюджеты поселений'!AY107</f>
        <v>0</v>
      </c>
      <c r="CV107" s="137">
        <f>'бюджет округа (района)'!AY107</f>
        <v>0</v>
      </c>
      <c r="CW107" s="137">
        <f t="shared" si="577"/>
        <v>0</v>
      </c>
      <c r="CX107" s="137">
        <f t="shared" si="577"/>
        <v>0</v>
      </c>
      <c r="CY107" s="135">
        <f t="shared" si="553"/>
        <v>1</v>
      </c>
      <c r="CZ107" s="135">
        <f t="shared" si="553"/>
        <v>1</v>
      </c>
      <c r="DA107" s="134">
        <f>'бюджет округа (района)'!BB107+'бюджеты поселений'!BB107</f>
        <v>0</v>
      </c>
      <c r="DB107" s="137">
        <f>'бюджет округа (района)'!BB107</f>
        <v>0</v>
      </c>
      <c r="DC107" s="137">
        <f t="shared" si="578"/>
        <v>0</v>
      </c>
      <c r="DD107" s="137">
        <f t="shared" si="578"/>
        <v>0</v>
      </c>
      <c r="DE107" s="135">
        <f t="shared" si="554"/>
        <v>1</v>
      </c>
      <c r="DF107" s="135">
        <f t="shared" si="554"/>
        <v>1</v>
      </c>
      <c r="DG107" s="134">
        <f>'бюджет округа (района)'!BE107+'бюджеты поселений'!BE107</f>
        <v>0</v>
      </c>
      <c r="DH107" s="137">
        <f>'бюджет округа (района)'!BE107</f>
        <v>0</v>
      </c>
      <c r="DI107" s="137">
        <f t="shared" si="579"/>
        <v>0</v>
      </c>
      <c r="DJ107" s="137">
        <f t="shared" si="579"/>
        <v>0</v>
      </c>
      <c r="DK107" s="135">
        <f t="shared" si="555"/>
        <v>1</v>
      </c>
      <c r="DL107" s="135">
        <f t="shared" si="555"/>
        <v>1</v>
      </c>
      <c r="DM107" s="134">
        <f>'бюджет округа (района)'!BH107+'бюджеты поселений'!BH107</f>
        <v>0</v>
      </c>
      <c r="DN107" s="137">
        <f>'бюджет округа (района)'!BH107</f>
        <v>0</v>
      </c>
      <c r="DO107" s="134">
        <f>'бюджет округа (района)'!BI107+'бюджеты поселений'!BI107</f>
        <v>0</v>
      </c>
      <c r="DP107" s="137">
        <f>'бюджет округа (района)'!BI107</f>
        <v>0</v>
      </c>
      <c r="DQ107" s="134">
        <f>'бюджет округа (района)'!BJ107+'бюджеты поселений'!BJ107</f>
        <v>0</v>
      </c>
      <c r="DR107" s="137">
        <f>'бюджет округа (района)'!BJ107</f>
        <v>0</v>
      </c>
      <c r="DS107" s="135">
        <f t="shared" si="591"/>
        <v>1</v>
      </c>
      <c r="DT107" s="135">
        <f t="shared" si="592"/>
        <v>1</v>
      </c>
      <c r="DU107" s="135">
        <f t="shared" si="557"/>
        <v>1</v>
      </c>
      <c r="DV107" s="135">
        <f t="shared" si="558"/>
        <v>1</v>
      </c>
      <c r="DW107" s="167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228">
        <v>853</v>
      </c>
      <c r="B108" s="229"/>
      <c r="C108" s="134">
        <f>'бюджет округа (района)'!C108+'бюджеты поселений'!C108</f>
        <v>0</v>
      </c>
      <c r="D108" s="137">
        <f>'бюджет округа (района)'!C108</f>
        <v>0</v>
      </c>
      <c r="E108" s="134">
        <f t="shared" si="589"/>
        <v>0</v>
      </c>
      <c r="F108" s="137">
        <f t="shared" si="589"/>
        <v>0</v>
      </c>
      <c r="G108" s="134">
        <f>'бюджет округа (района)'!E108+'бюджеты поселений'!E108</f>
        <v>0</v>
      </c>
      <c r="H108" s="137">
        <f>'бюджет округа (района)'!E108</f>
        <v>0</v>
      </c>
      <c r="I108" s="134">
        <f>'бюджет округа (района)'!F108+'бюджеты поселений'!F108</f>
        <v>0</v>
      </c>
      <c r="J108" s="137">
        <f>'бюджет округа (района)'!F108</f>
        <v>0</v>
      </c>
      <c r="K108" s="137">
        <f t="shared" ref="K108:L112" si="593">G108+I108</f>
        <v>0</v>
      </c>
      <c r="L108" s="137">
        <f t="shared" si="593"/>
        <v>0</v>
      </c>
      <c r="M108" s="134">
        <f>'бюджет округа (района)'!H108+'бюджеты поселений'!H108</f>
        <v>0</v>
      </c>
      <c r="N108" s="137">
        <f>'бюджет округа (района)'!H108</f>
        <v>0</v>
      </c>
      <c r="O108" s="137">
        <f t="shared" si="590"/>
        <v>0</v>
      </c>
      <c r="P108" s="137">
        <f t="shared" si="590"/>
        <v>0</v>
      </c>
      <c r="Q108" s="134">
        <f>'бюджет округа (района)'!J108+'бюджеты поселений'!J108</f>
        <v>0</v>
      </c>
      <c r="R108" s="137">
        <f>'бюджет округа (района)'!J108</f>
        <v>0</v>
      </c>
      <c r="S108" s="137">
        <f t="shared" ref="S108:T112" si="594">O108+Q108</f>
        <v>0</v>
      </c>
      <c r="T108" s="137">
        <f t="shared" si="594"/>
        <v>0</v>
      </c>
      <c r="U108" s="134">
        <f>'бюджет округа (района)'!L108+'бюджеты поселений'!L108</f>
        <v>0</v>
      </c>
      <c r="V108" s="137">
        <f>'бюджет округа (района)'!L108</f>
        <v>0</v>
      </c>
      <c r="W108" s="137">
        <f t="shared" ref="W108:X112" si="595">S108+U108</f>
        <v>0</v>
      </c>
      <c r="X108" s="137">
        <f t="shared" si="595"/>
        <v>0</v>
      </c>
      <c r="Y108" s="134">
        <f>'бюджет округа (района)'!N108+'бюджеты поселений'!N108</f>
        <v>0</v>
      </c>
      <c r="Z108" s="137">
        <f>'бюджет округа (района)'!N108</f>
        <v>0</v>
      </c>
      <c r="AA108" s="137">
        <f t="shared" ref="AA108:AB112" si="596">W108+Y108</f>
        <v>0</v>
      </c>
      <c r="AB108" s="137">
        <f t="shared" si="596"/>
        <v>0</v>
      </c>
      <c r="AC108" s="134">
        <f>'бюджет округа (района)'!P108+'бюджеты поселений'!P108</f>
        <v>0</v>
      </c>
      <c r="AD108" s="137">
        <f>'бюджет округа (района)'!P108</f>
        <v>0</v>
      </c>
      <c r="AE108" s="137">
        <f t="shared" ref="AE108:AF112" si="597">AA108+AC108</f>
        <v>0</v>
      </c>
      <c r="AF108" s="137">
        <f t="shared" si="597"/>
        <v>0</v>
      </c>
      <c r="AG108" s="134">
        <f>'бюджет округа (района)'!R108+'бюджеты поселений'!R108</f>
        <v>0</v>
      </c>
      <c r="AH108" s="137">
        <f>'бюджет округа (района)'!R108</f>
        <v>0</v>
      </c>
      <c r="AI108" s="137">
        <f t="shared" ref="AI108:AJ112" si="598">AE108+AG108</f>
        <v>0</v>
      </c>
      <c r="AJ108" s="137">
        <f t="shared" si="598"/>
        <v>0</v>
      </c>
      <c r="AK108" s="134">
        <f>'бюджет округа (района)'!T108+'бюджеты поселений'!T108</f>
        <v>0</v>
      </c>
      <c r="AL108" s="137">
        <f>'бюджет округа (района)'!T108</f>
        <v>0</v>
      </c>
      <c r="AM108" s="137">
        <f t="shared" ref="AM108:AN112" si="599">AI108+AK108</f>
        <v>0</v>
      </c>
      <c r="AN108" s="137">
        <f t="shared" si="599"/>
        <v>0</v>
      </c>
      <c r="AO108" s="134">
        <f>'бюджет округа (района)'!V108+'бюджеты поселений'!V108</f>
        <v>0</v>
      </c>
      <c r="AP108" s="137">
        <f>'бюджет округа (района)'!V108</f>
        <v>0</v>
      </c>
      <c r="AQ108" s="137">
        <f t="shared" ref="AQ108:AR112" si="600">AM108+AO108</f>
        <v>0</v>
      </c>
      <c r="AR108" s="137">
        <f t="shared" si="600"/>
        <v>0</v>
      </c>
      <c r="AS108" s="134">
        <f>'бюджет округа (района)'!X108+'бюджеты поселений'!X108</f>
        <v>0</v>
      </c>
      <c r="AT108" s="137">
        <f>'бюджет округа (района)'!X108</f>
        <v>0</v>
      </c>
      <c r="AU108" s="137">
        <f t="shared" ref="AU108:AV112" si="601">AQ108+AS108</f>
        <v>0</v>
      </c>
      <c r="AV108" s="137">
        <f t="shared" si="601"/>
        <v>0</v>
      </c>
      <c r="AW108" s="134">
        <f>'бюджет округа (района)'!Z108+'бюджеты поселений'!Z108</f>
        <v>0</v>
      </c>
      <c r="AX108" s="137">
        <f>'бюджет округа (района)'!Z108</f>
        <v>0</v>
      </c>
      <c r="AY108" s="134">
        <f>'бюджет округа (района)'!AA108+'бюджеты поселений'!AA108</f>
        <v>0</v>
      </c>
      <c r="AZ108" s="137">
        <f>'бюджет округа (района)'!AA108</f>
        <v>0</v>
      </c>
      <c r="BA108" s="135">
        <f t="shared" si="581"/>
        <v>1</v>
      </c>
      <c r="BB108" s="135">
        <f t="shared" si="581"/>
        <v>1</v>
      </c>
      <c r="BC108" s="134">
        <f>'бюджет округа (района)'!AC108+'бюджеты поселений'!AC108</f>
        <v>0</v>
      </c>
      <c r="BD108" s="137">
        <f>'бюджет округа (района)'!AC108</f>
        <v>0</v>
      </c>
      <c r="BE108" s="134">
        <f>'бюджет округа (района)'!AD108+'бюджеты поселений'!AD108</f>
        <v>0</v>
      </c>
      <c r="BF108" s="137">
        <f>'бюджет округа (района)'!AD108</f>
        <v>0</v>
      </c>
      <c r="BG108" s="137">
        <f t="shared" ref="BG108:BH112" si="602">BC108+BE108</f>
        <v>0</v>
      </c>
      <c r="BH108" s="137">
        <f t="shared" si="602"/>
        <v>0</v>
      </c>
      <c r="BI108" s="135">
        <f t="shared" si="546"/>
        <v>1</v>
      </c>
      <c r="BJ108" s="135">
        <f t="shared" si="546"/>
        <v>1</v>
      </c>
      <c r="BK108" s="134">
        <f>'бюджет округа (района)'!AG108+'бюджеты поселений'!AG108</f>
        <v>0</v>
      </c>
      <c r="BL108" s="137">
        <f>'бюджет округа (района)'!AG108</f>
        <v>0</v>
      </c>
      <c r="BM108" s="137">
        <f t="shared" si="571"/>
        <v>0</v>
      </c>
      <c r="BN108" s="137">
        <f t="shared" si="571"/>
        <v>0</v>
      </c>
      <c r="BO108" s="135">
        <f t="shared" si="547"/>
        <v>1</v>
      </c>
      <c r="BP108" s="135">
        <f t="shared" si="547"/>
        <v>1</v>
      </c>
      <c r="BQ108" s="134">
        <f>'бюджет округа (района)'!AJ108+'бюджеты поселений'!AJ108</f>
        <v>0</v>
      </c>
      <c r="BR108" s="137">
        <f>'бюджет округа (района)'!AJ108</f>
        <v>0</v>
      </c>
      <c r="BS108" s="137">
        <f t="shared" si="572"/>
        <v>0</v>
      </c>
      <c r="BT108" s="137">
        <f t="shared" si="572"/>
        <v>0</v>
      </c>
      <c r="BU108" s="135">
        <f t="shared" si="548"/>
        <v>1</v>
      </c>
      <c r="BV108" s="135">
        <f t="shared" si="548"/>
        <v>1</v>
      </c>
      <c r="BW108" s="134">
        <f>'бюджет округа (района)'!AM108+'бюджеты поселений'!AM108</f>
        <v>0</v>
      </c>
      <c r="BX108" s="137">
        <f>'бюджет округа (района)'!AM108</f>
        <v>0</v>
      </c>
      <c r="BY108" s="137">
        <f t="shared" si="573"/>
        <v>0</v>
      </c>
      <c r="BZ108" s="137">
        <f t="shared" si="573"/>
        <v>0</v>
      </c>
      <c r="CA108" s="135">
        <f t="shared" si="549"/>
        <v>1</v>
      </c>
      <c r="CB108" s="135">
        <f t="shared" si="549"/>
        <v>1</v>
      </c>
      <c r="CC108" s="134">
        <f>'бюджет округа (района)'!AP108+'бюджеты поселений'!AP108</f>
        <v>0</v>
      </c>
      <c r="CD108" s="137">
        <f>'бюджет округа (района)'!AP108</f>
        <v>0</v>
      </c>
      <c r="CE108" s="137">
        <f t="shared" si="574"/>
        <v>0</v>
      </c>
      <c r="CF108" s="137">
        <f t="shared" si="574"/>
        <v>0</v>
      </c>
      <c r="CG108" s="135">
        <f t="shared" si="550"/>
        <v>1</v>
      </c>
      <c r="CH108" s="135">
        <f t="shared" si="550"/>
        <v>1</v>
      </c>
      <c r="CI108" s="134">
        <f>'бюджет округа (района)'!AS108+'бюджеты поселений'!AS108</f>
        <v>0</v>
      </c>
      <c r="CJ108" s="137">
        <f>'бюджет округа (района)'!AS108</f>
        <v>0</v>
      </c>
      <c r="CK108" s="137">
        <f t="shared" si="575"/>
        <v>0</v>
      </c>
      <c r="CL108" s="137">
        <f t="shared" si="575"/>
        <v>0</v>
      </c>
      <c r="CM108" s="135">
        <f t="shared" si="551"/>
        <v>1</v>
      </c>
      <c r="CN108" s="135">
        <f t="shared" si="551"/>
        <v>1</v>
      </c>
      <c r="CO108" s="134">
        <f>'бюджет округа (района)'!AV108+'бюджеты поселений'!AV108</f>
        <v>0</v>
      </c>
      <c r="CP108" s="137">
        <f>'бюджет округа (района)'!AV108</f>
        <v>0</v>
      </c>
      <c r="CQ108" s="137">
        <f t="shared" si="576"/>
        <v>0</v>
      </c>
      <c r="CR108" s="137">
        <f t="shared" si="576"/>
        <v>0</v>
      </c>
      <c r="CS108" s="135">
        <f t="shared" si="552"/>
        <v>1</v>
      </c>
      <c r="CT108" s="135">
        <f t="shared" si="552"/>
        <v>1</v>
      </c>
      <c r="CU108" s="134">
        <f>'бюджет округа (района)'!AY108+'бюджеты поселений'!AY108</f>
        <v>0</v>
      </c>
      <c r="CV108" s="137">
        <f>'бюджет округа (района)'!AY108</f>
        <v>0</v>
      </c>
      <c r="CW108" s="137">
        <f t="shared" si="577"/>
        <v>0</v>
      </c>
      <c r="CX108" s="137">
        <f t="shared" si="577"/>
        <v>0</v>
      </c>
      <c r="CY108" s="135">
        <f t="shared" si="553"/>
        <v>1</v>
      </c>
      <c r="CZ108" s="135">
        <f t="shared" si="553"/>
        <v>1</v>
      </c>
      <c r="DA108" s="134">
        <f>'бюджет округа (района)'!BB108+'бюджеты поселений'!BB108</f>
        <v>0</v>
      </c>
      <c r="DB108" s="137">
        <f>'бюджет округа (района)'!BB108</f>
        <v>0</v>
      </c>
      <c r="DC108" s="137">
        <f t="shared" si="578"/>
        <v>0</v>
      </c>
      <c r="DD108" s="137">
        <f t="shared" si="578"/>
        <v>0</v>
      </c>
      <c r="DE108" s="135">
        <f t="shared" si="554"/>
        <v>1</v>
      </c>
      <c r="DF108" s="135">
        <f t="shared" si="554"/>
        <v>1</v>
      </c>
      <c r="DG108" s="134">
        <f>'бюджет округа (района)'!BE108+'бюджеты поселений'!BE108</f>
        <v>0</v>
      </c>
      <c r="DH108" s="137">
        <f>'бюджет округа (района)'!BE108</f>
        <v>0</v>
      </c>
      <c r="DI108" s="137">
        <f t="shared" si="579"/>
        <v>0</v>
      </c>
      <c r="DJ108" s="137">
        <f t="shared" si="579"/>
        <v>0</v>
      </c>
      <c r="DK108" s="135">
        <f t="shared" si="555"/>
        <v>1</v>
      </c>
      <c r="DL108" s="135">
        <f t="shared" si="555"/>
        <v>1</v>
      </c>
      <c r="DM108" s="134">
        <f>'бюджет округа (района)'!BH108+'бюджеты поселений'!BH108</f>
        <v>0</v>
      </c>
      <c r="DN108" s="137">
        <f>'бюджет округа (района)'!BH108</f>
        <v>0</v>
      </c>
      <c r="DO108" s="134">
        <f>'бюджет округа (района)'!BI108+'бюджеты поселений'!BI108</f>
        <v>0</v>
      </c>
      <c r="DP108" s="137">
        <f>'бюджет округа (района)'!BI108</f>
        <v>0</v>
      </c>
      <c r="DQ108" s="134">
        <f>'бюджет округа (района)'!BJ108+'бюджеты поселений'!BJ108</f>
        <v>0</v>
      </c>
      <c r="DR108" s="137">
        <f>'бюджет округа (района)'!BJ108</f>
        <v>0</v>
      </c>
      <c r="DS108" s="135">
        <f t="shared" si="591"/>
        <v>1</v>
      </c>
      <c r="DT108" s="135">
        <f t="shared" si="592"/>
        <v>1</v>
      </c>
      <c r="DU108" s="135">
        <f t="shared" si="557"/>
        <v>1</v>
      </c>
      <c r="DV108" s="135">
        <f t="shared" si="558"/>
        <v>1</v>
      </c>
      <c r="DW108" s="167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customHeight="1">
      <c r="A109" s="173"/>
      <c r="B109" s="174"/>
      <c r="C109" s="134">
        <f>'бюджет округа (района)'!C109+'бюджеты поселений'!C109</f>
        <v>0</v>
      </c>
      <c r="D109" s="137">
        <f>'бюджет округа (района)'!C109</f>
        <v>0</v>
      </c>
      <c r="E109" s="134">
        <f t="shared" si="589"/>
        <v>0</v>
      </c>
      <c r="F109" s="137">
        <f t="shared" si="589"/>
        <v>0</v>
      </c>
      <c r="G109" s="134">
        <f>'бюджет округа (района)'!E109+'бюджеты поселений'!E109</f>
        <v>0</v>
      </c>
      <c r="H109" s="137">
        <f>'бюджет округа (района)'!E109</f>
        <v>0</v>
      </c>
      <c r="I109" s="134">
        <f>'бюджет округа (района)'!F109+'бюджеты поселений'!F109</f>
        <v>0</v>
      </c>
      <c r="J109" s="137">
        <f>'бюджет округа (района)'!F109</f>
        <v>0</v>
      </c>
      <c r="K109" s="137">
        <f t="shared" si="593"/>
        <v>0</v>
      </c>
      <c r="L109" s="137">
        <f t="shared" si="593"/>
        <v>0</v>
      </c>
      <c r="M109" s="134">
        <f>'бюджет округа (района)'!H109+'бюджеты поселений'!H109</f>
        <v>0</v>
      </c>
      <c r="N109" s="137">
        <f>'бюджет округа (района)'!H109</f>
        <v>0</v>
      </c>
      <c r="O109" s="137">
        <f t="shared" si="590"/>
        <v>0</v>
      </c>
      <c r="P109" s="137">
        <f t="shared" si="590"/>
        <v>0</v>
      </c>
      <c r="Q109" s="134">
        <f>'бюджет округа (района)'!J109+'бюджеты поселений'!J109</f>
        <v>0</v>
      </c>
      <c r="R109" s="137">
        <f>'бюджет округа (района)'!J109</f>
        <v>0</v>
      </c>
      <c r="S109" s="137">
        <f t="shared" si="594"/>
        <v>0</v>
      </c>
      <c r="T109" s="137">
        <f t="shared" si="594"/>
        <v>0</v>
      </c>
      <c r="U109" s="134">
        <f>'бюджет округа (района)'!L109+'бюджеты поселений'!L109</f>
        <v>0</v>
      </c>
      <c r="V109" s="137">
        <f>'бюджет округа (района)'!L109</f>
        <v>0</v>
      </c>
      <c r="W109" s="137">
        <f t="shared" si="595"/>
        <v>0</v>
      </c>
      <c r="X109" s="137">
        <f t="shared" si="595"/>
        <v>0</v>
      </c>
      <c r="Y109" s="134">
        <f>'бюджет округа (района)'!N109+'бюджеты поселений'!N109</f>
        <v>0</v>
      </c>
      <c r="Z109" s="137">
        <f>'бюджет округа (района)'!N109</f>
        <v>0</v>
      </c>
      <c r="AA109" s="137">
        <f t="shared" si="596"/>
        <v>0</v>
      </c>
      <c r="AB109" s="137">
        <f t="shared" si="596"/>
        <v>0</v>
      </c>
      <c r="AC109" s="134">
        <f>'бюджет округа (района)'!P109+'бюджеты поселений'!P109</f>
        <v>0</v>
      </c>
      <c r="AD109" s="137">
        <f>'бюджет округа (района)'!P109</f>
        <v>0</v>
      </c>
      <c r="AE109" s="137">
        <f t="shared" si="597"/>
        <v>0</v>
      </c>
      <c r="AF109" s="137">
        <f t="shared" si="597"/>
        <v>0</v>
      </c>
      <c r="AG109" s="134">
        <f>'бюджет округа (района)'!R109+'бюджеты поселений'!R109</f>
        <v>0</v>
      </c>
      <c r="AH109" s="137">
        <f>'бюджет округа (района)'!R109</f>
        <v>0</v>
      </c>
      <c r="AI109" s="137">
        <f t="shared" si="598"/>
        <v>0</v>
      </c>
      <c r="AJ109" s="137">
        <f t="shared" si="598"/>
        <v>0</v>
      </c>
      <c r="AK109" s="134">
        <f>'бюджет округа (района)'!T109+'бюджеты поселений'!T109</f>
        <v>0</v>
      </c>
      <c r="AL109" s="137">
        <f>'бюджет округа (района)'!T109</f>
        <v>0</v>
      </c>
      <c r="AM109" s="137">
        <f t="shared" si="599"/>
        <v>0</v>
      </c>
      <c r="AN109" s="137">
        <f t="shared" si="599"/>
        <v>0</v>
      </c>
      <c r="AO109" s="134">
        <f>'бюджет округа (района)'!V109+'бюджеты поселений'!V109</f>
        <v>0</v>
      </c>
      <c r="AP109" s="137">
        <f>'бюджет округа (района)'!V109</f>
        <v>0</v>
      </c>
      <c r="AQ109" s="137">
        <f t="shared" si="600"/>
        <v>0</v>
      </c>
      <c r="AR109" s="137">
        <f t="shared" si="600"/>
        <v>0</v>
      </c>
      <c r="AS109" s="134">
        <f>'бюджет округа (района)'!X109+'бюджеты поселений'!X109</f>
        <v>0</v>
      </c>
      <c r="AT109" s="137">
        <f>'бюджет округа (района)'!X109</f>
        <v>0</v>
      </c>
      <c r="AU109" s="137">
        <f t="shared" si="601"/>
        <v>0</v>
      </c>
      <c r="AV109" s="137">
        <f t="shared" si="601"/>
        <v>0</v>
      </c>
      <c r="AW109" s="134">
        <f>'бюджет округа (района)'!Z109+'бюджеты поселений'!Z109</f>
        <v>0</v>
      </c>
      <c r="AX109" s="137">
        <f>'бюджет округа (района)'!Z109</f>
        <v>0</v>
      </c>
      <c r="AY109" s="134">
        <f>'бюджет округа (района)'!AA109+'бюджеты поселений'!AA109</f>
        <v>0</v>
      </c>
      <c r="AZ109" s="137">
        <f>'бюджет округа (района)'!AA109</f>
        <v>0</v>
      </c>
      <c r="BA109" s="135">
        <f t="shared" si="581"/>
        <v>1</v>
      </c>
      <c r="BB109" s="135">
        <f t="shared" si="581"/>
        <v>1</v>
      </c>
      <c r="BC109" s="134">
        <f>'бюджет округа (района)'!AC109+'бюджеты поселений'!AC109</f>
        <v>0</v>
      </c>
      <c r="BD109" s="137">
        <f>'бюджет округа (района)'!AC109</f>
        <v>0</v>
      </c>
      <c r="BE109" s="134">
        <f>'бюджет округа (района)'!AD109+'бюджеты поселений'!AD109</f>
        <v>0</v>
      </c>
      <c r="BF109" s="137">
        <f>'бюджет округа (района)'!AD109</f>
        <v>0</v>
      </c>
      <c r="BG109" s="137">
        <f t="shared" si="602"/>
        <v>0</v>
      </c>
      <c r="BH109" s="137">
        <f t="shared" si="602"/>
        <v>0</v>
      </c>
      <c r="BI109" s="135">
        <f t="shared" si="546"/>
        <v>1</v>
      </c>
      <c r="BJ109" s="135">
        <f t="shared" si="546"/>
        <v>1</v>
      </c>
      <c r="BK109" s="134">
        <f>'бюджет округа (района)'!AG109+'бюджеты поселений'!AG109</f>
        <v>0</v>
      </c>
      <c r="BL109" s="137">
        <f>'бюджет округа (района)'!AG109</f>
        <v>0</v>
      </c>
      <c r="BM109" s="137">
        <f t="shared" si="571"/>
        <v>0</v>
      </c>
      <c r="BN109" s="137">
        <f t="shared" si="571"/>
        <v>0</v>
      </c>
      <c r="BO109" s="135">
        <f t="shared" si="547"/>
        <v>1</v>
      </c>
      <c r="BP109" s="135">
        <f t="shared" si="547"/>
        <v>1</v>
      </c>
      <c r="BQ109" s="134">
        <f>'бюджет округа (района)'!AJ109+'бюджеты поселений'!AJ109</f>
        <v>0</v>
      </c>
      <c r="BR109" s="137">
        <f>'бюджет округа (района)'!AJ109</f>
        <v>0</v>
      </c>
      <c r="BS109" s="137">
        <f t="shared" si="572"/>
        <v>0</v>
      </c>
      <c r="BT109" s="137">
        <f t="shared" si="572"/>
        <v>0</v>
      </c>
      <c r="BU109" s="135">
        <f t="shared" si="548"/>
        <v>1</v>
      </c>
      <c r="BV109" s="135">
        <f t="shared" si="548"/>
        <v>1</v>
      </c>
      <c r="BW109" s="134">
        <f>'бюджет округа (района)'!AM109+'бюджеты поселений'!AM109</f>
        <v>0</v>
      </c>
      <c r="BX109" s="137">
        <f>'бюджет округа (района)'!AM109</f>
        <v>0</v>
      </c>
      <c r="BY109" s="137">
        <f t="shared" si="573"/>
        <v>0</v>
      </c>
      <c r="BZ109" s="137">
        <f t="shared" si="573"/>
        <v>0</v>
      </c>
      <c r="CA109" s="135">
        <f t="shared" si="549"/>
        <v>1</v>
      </c>
      <c r="CB109" s="135">
        <f t="shared" si="549"/>
        <v>1</v>
      </c>
      <c r="CC109" s="134">
        <f>'бюджет округа (района)'!AP109+'бюджеты поселений'!AP109</f>
        <v>0</v>
      </c>
      <c r="CD109" s="137">
        <f>'бюджет округа (района)'!AP109</f>
        <v>0</v>
      </c>
      <c r="CE109" s="137">
        <f t="shared" si="574"/>
        <v>0</v>
      </c>
      <c r="CF109" s="137">
        <f t="shared" si="574"/>
        <v>0</v>
      </c>
      <c r="CG109" s="135">
        <f t="shared" si="550"/>
        <v>1</v>
      </c>
      <c r="CH109" s="135">
        <f t="shared" si="550"/>
        <v>1</v>
      </c>
      <c r="CI109" s="134">
        <f>'бюджет округа (района)'!AS109+'бюджеты поселений'!AS109</f>
        <v>0</v>
      </c>
      <c r="CJ109" s="137">
        <f>'бюджет округа (района)'!AS109</f>
        <v>0</v>
      </c>
      <c r="CK109" s="137">
        <f t="shared" si="575"/>
        <v>0</v>
      </c>
      <c r="CL109" s="137">
        <f t="shared" si="575"/>
        <v>0</v>
      </c>
      <c r="CM109" s="135">
        <f t="shared" si="551"/>
        <v>1</v>
      </c>
      <c r="CN109" s="135">
        <f t="shared" si="551"/>
        <v>1</v>
      </c>
      <c r="CO109" s="134">
        <f>'бюджет округа (района)'!AV109+'бюджеты поселений'!AV109</f>
        <v>0</v>
      </c>
      <c r="CP109" s="137">
        <f>'бюджет округа (района)'!AV109</f>
        <v>0</v>
      </c>
      <c r="CQ109" s="137">
        <f t="shared" si="576"/>
        <v>0</v>
      </c>
      <c r="CR109" s="137">
        <f t="shared" si="576"/>
        <v>0</v>
      </c>
      <c r="CS109" s="135">
        <f t="shared" si="552"/>
        <v>1</v>
      </c>
      <c r="CT109" s="135">
        <f t="shared" si="552"/>
        <v>1</v>
      </c>
      <c r="CU109" s="134">
        <f>'бюджет округа (района)'!AY109+'бюджеты поселений'!AY109</f>
        <v>0</v>
      </c>
      <c r="CV109" s="137">
        <f>'бюджет округа (района)'!AY109</f>
        <v>0</v>
      </c>
      <c r="CW109" s="137">
        <f t="shared" si="577"/>
        <v>0</v>
      </c>
      <c r="CX109" s="137">
        <f t="shared" si="577"/>
        <v>0</v>
      </c>
      <c r="CY109" s="135">
        <f t="shared" si="553"/>
        <v>1</v>
      </c>
      <c r="CZ109" s="135">
        <f t="shared" si="553"/>
        <v>1</v>
      </c>
      <c r="DA109" s="134">
        <f>'бюджет округа (района)'!BB109+'бюджеты поселений'!BB109</f>
        <v>0</v>
      </c>
      <c r="DB109" s="137">
        <f>'бюджет округа (района)'!BB109</f>
        <v>0</v>
      </c>
      <c r="DC109" s="137">
        <f t="shared" si="578"/>
        <v>0</v>
      </c>
      <c r="DD109" s="137">
        <f t="shared" si="578"/>
        <v>0</v>
      </c>
      <c r="DE109" s="135">
        <f t="shared" si="554"/>
        <v>1</v>
      </c>
      <c r="DF109" s="135">
        <f t="shared" si="554"/>
        <v>1</v>
      </c>
      <c r="DG109" s="134">
        <f>'бюджет округа (района)'!BE109+'бюджеты поселений'!BE109</f>
        <v>0</v>
      </c>
      <c r="DH109" s="137">
        <f>'бюджет округа (района)'!BE109</f>
        <v>0</v>
      </c>
      <c r="DI109" s="137">
        <f t="shared" si="579"/>
        <v>0</v>
      </c>
      <c r="DJ109" s="137">
        <f t="shared" si="579"/>
        <v>0</v>
      </c>
      <c r="DK109" s="135">
        <f t="shared" si="555"/>
        <v>1</v>
      </c>
      <c r="DL109" s="135">
        <f t="shared" si="555"/>
        <v>1</v>
      </c>
      <c r="DM109" s="134">
        <f>'бюджет округа (района)'!BH109+'бюджеты поселений'!BH109</f>
        <v>0</v>
      </c>
      <c r="DN109" s="137">
        <f>'бюджет округа (района)'!BH109</f>
        <v>0</v>
      </c>
      <c r="DO109" s="134">
        <f>'бюджет округа (района)'!BI109+'бюджеты поселений'!BI109</f>
        <v>0</v>
      </c>
      <c r="DP109" s="137">
        <f>'бюджет округа (района)'!BI109</f>
        <v>0</v>
      </c>
      <c r="DQ109" s="134">
        <f>'бюджет округа (района)'!BJ109+'бюджеты поселений'!BJ109</f>
        <v>0</v>
      </c>
      <c r="DR109" s="137">
        <f>'бюджет округа (района)'!BJ109</f>
        <v>0</v>
      </c>
      <c r="DS109" s="135">
        <f t="shared" si="591"/>
        <v>1</v>
      </c>
      <c r="DT109" s="135">
        <f t="shared" si="592"/>
        <v>1</v>
      </c>
      <c r="DU109" s="135">
        <f t="shared" si="557"/>
        <v>1</v>
      </c>
      <c r="DV109" s="135">
        <f t="shared" si="558"/>
        <v>1</v>
      </c>
      <c r="DW109" s="167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customHeight="1">
      <c r="A110" s="173"/>
      <c r="B110" s="174"/>
      <c r="C110" s="134">
        <f>'бюджет округа (района)'!C110+'бюджеты поселений'!C110</f>
        <v>0</v>
      </c>
      <c r="D110" s="137">
        <f>'бюджет округа (района)'!C110</f>
        <v>0</v>
      </c>
      <c r="E110" s="134">
        <f t="shared" si="589"/>
        <v>0</v>
      </c>
      <c r="F110" s="137">
        <f t="shared" si="589"/>
        <v>0</v>
      </c>
      <c r="G110" s="134">
        <f>'бюджет округа (района)'!E110+'бюджеты поселений'!E110</f>
        <v>0</v>
      </c>
      <c r="H110" s="137">
        <f>'бюджет округа (района)'!E110</f>
        <v>0</v>
      </c>
      <c r="I110" s="134">
        <f>'бюджет округа (района)'!F110+'бюджеты поселений'!F110</f>
        <v>0</v>
      </c>
      <c r="J110" s="137">
        <f>'бюджет округа (района)'!F110</f>
        <v>0</v>
      </c>
      <c r="K110" s="137">
        <f t="shared" si="593"/>
        <v>0</v>
      </c>
      <c r="L110" s="137">
        <f t="shared" si="593"/>
        <v>0</v>
      </c>
      <c r="M110" s="134">
        <f>'бюджет округа (района)'!H110+'бюджеты поселений'!H110</f>
        <v>0</v>
      </c>
      <c r="N110" s="137">
        <f>'бюджет округа (района)'!H110</f>
        <v>0</v>
      </c>
      <c r="O110" s="137">
        <f t="shared" si="590"/>
        <v>0</v>
      </c>
      <c r="P110" s="137">
        <f t="shared" si="590"/>
        <v>0</v>
      </c>
      <c r="Q110" s="134">
        <f>'бюджет округа (района)'!J110+'бюджеты поселений'!J110</f>
        <v>0</v>
      </c>
      <c r="R110" s="137">
        <f>'бюджет округа (района)'!J110</f>
        <v>0</v>
      </c>
      <c r="S110" s="137">
        <f t="shared" si="594"/>
        <v>0</v>
      </c>
      <c r="T110" s="137">
        <f t="shared" si="594"/>
        <v>0</v>
      </c>
      <c r="U110" s="134">
        <f>'бюджет округа (района)'!L110+'бюджеты поселений'!L110</f>
        <v>0</v>
      </c>
      <c r="V110" s="137">
        <f>'бюджет округа (района)'!L110</f>
        <v>0</v>
      </c>
      <c r="W110" s="137">
        <f t="shared" si="595"/>
        <v>0</v>
      </c>
      <c r="X110" s="137">
        <f t="shared" si="595"/>
        <v>0</v>
      </c>
      <c r="Y110" s="134">
        <f>'бюджет округа (района)'!N110+'бюджеты поселений'!N110</f>
        <v>0</v>
      </c>
      <c r="Z110" s="137">
        <f>'бюджет округа (района)'!N110</f>
        <v>0</v>
      </c>
      <c r="AA110" s="137">
        <f t="shared" si="596"/>
        <v>0</v>
      </c>
      <c r="AB110" s="137">
        <f t="shared" si="596"/>
        <v>0</v>
      </c>
      <c r="AC110" s="134">
        <f>'бюджет округа (района)'!P110+'бюджеты поселений'!P110</f>
        <v>0</v>
      </c>
      <c r="AD110" s="137">
        <f>'бюджет округа (района)'!P110</f>
        <v>0</v>
      </c>
      <c r="AE110" s="137">
        <f t="shared" si="597"/>
        <v>0</v>
      </c>
      <c r="AF110" s="137">
        <f t="shared" si="597"/>
        <v>0</v>
      </c>
      <c r="AG110" s="134">
        <f>'бюджет округа (района)'!R110+'бюджеты поселений'!R110</f>
        <v>0</v>
      </c>
      <c r="AH110" s="137">
        <f>'бюджет округа (района)'!R110</f>
        <v>0</v>
      </c>
      <c r="AI110" s="137">
        <f t="shared" si="598"/>
        <v>0</v>
      </c>
      <c r="AJ110" s="137">
        <f t="shared" si="598"/>
        <v>0</v>
      </c>
      <c r="AK110" s="134">
        <f>'бюджет округа (района)'!T110+'бюджеты поселений'!T110</f>
        <v>0</v>
      </c>
      <c r="AL110" s="137">
        <f>'бюджет округа (района)'!T110</f>
        <v>0</v>
      </c>
      <c r="AM110" s="137">
        <f t="shared" si="599"/>
        <v>0</v>
      </c>
      <c r="AN110" s="137">
        <f t="shared" si="599"/>
        <v>0</v>
      </c>
      <c r="AO110" s="134">
        <f>'бюджет округа (района)'!V110+'бюджеты поселений'!V110</f>
        <v>0</v>
      </c>
      <c r="AP110" s="137">
        <f>'бюджет округа (района)'!V110</f>
        <v>0</v>
      </c>
      <c r="AQ110" s="137">
        <f t="shared" si="600"/>
        <v>0</v>
      </c>
      <c r="AR110" s="137">
        <f t="shared" si="600"/>
        <v>0</v>
      </c>
      <c r="AS110" s="134">
        <f>'бюджет округа (района)'!X110+'бюджеты поселений'!X110</f>
        <v>0</v>
      </c>
      <c r="AT110" s="137">
        <f>'бюджет округа (района)'!X110</f>
        <v>0</v>
      </c>
      <c r="AU110" s="137">
        <f t="shared" si="601"/>
        <v>0</v>
      </c>
      <c r="AV110" s="137">
        <f t="shared" si="601"/>
        <v>0</v>
      </c>
      <c r="AW110" s="134">
        <f>'бюджет округа (района)'!Z110+'бюджеты поселений'!Z110</f>
        <v>0</v>
      </c>
      <c r="AX110" s="137">
        <f>'бюджет округа (района)'!Z110</f>
        <v>0</v>
      </c>
      <c r="AY110" s="134">
        <f>'бюджет округа (района)'!AA110+'бюджеты поселений'!AA110</f>
        <v>0</v>
      </c>
      <c r="AZ110" s="137">
        <f>'бюджет округа (района)'!AA110</f>
        <v>0</v>
      </c>
      <c r="BA110" s="135">
        <f t="shared" si="581"/>
        <v>1</v>
      </c>
      <c r="BB110" s="135">
        <f t="shared" si="581"/>
        <v>1</v>
      </c>
      <c r="BC110" s="134">
        <f>'бюджет округа (района)'!AC110+'бюджеты поселений'!AC110</f>
        <v>0</v>
      </c>
      <c r="BD110" s="137">
        <f>'бюджет округа (района)'!AC110</f>
        <v>0</v>
      </c>
      <c r="BE110" s="134">
        <f>'бюджет округа (района)'!AD110+'бюджеты поселений'!AD110</f>
        <v>0</v>
      </c>
      <c r="BF110" s="137">
        <f>'бюджет округа (района)'!AD110</f>
        <v>0</v>
      </c>
      <c r="BG110" s="137">
        <f t="shared" si="602"/>
        <v>0</v>
      </c>
      <c r="BH110" s="137">
        <f t="shared" si="602"/>
        <v>0</v>
      </c>
      <c r="BI110" s="135">
        <f t="shared" si="546"/>
        <v>1</v>
      </c>
      <c r="BJ110" s="135">
        <f t="shared" si="546"/>
        <v>1</v>
      </c>
      <c r="BK110" s="134">
        <f>'бюджет округа (района)'!AG110+'бюджеты поселений'!AG110</f>
        <v>0</v>
      </c>
      <c r="BL110" s="137">
        <f>'бюджет округа (района)'!AG110</f>
        <v>0</v>
      </c>
      <c r="BM110" s="137">
        <f t="shared" si="571"/>
        <v>0</v>
      </c>
      <c r="BN110" s="137">
        <f t="shared" si="571"/>
        <v>0</v>
      </c>
      <c r="BO110" s="135">
        <f t="shared" si="547"/>
        <v>1</v>
      </c>
      <c r="BP110" s="135">
        <f t="shared" si="547"/>
        <v>1</v>
      </c>
      <c r="BQ110" s="134">
        <f>'бюджет округа (района)'!AJ110+'бюджеты поселений'!AJ110</f>
        <v>0</v>
      </c>
      <c r="BR110" s="137">
        <f>'бюджет округа (района)'!AJ110</f>
        <v>0</v>
      </c>
      <c r="BS110" s="137">
        <f t="shared" si="572"/>
        <v>0</v>
      </c>
      <c r="BT110" s="137">
        <f t="shared" si="572"/>
        <v>0</v>
      </c>
      <c r="BU110" s="135">
        <f t="shared" si="548"/>
        <v>1</v>
      </c>
      <c r="BV110" s="135">
        <f t="shared" si="548"/>
        <v>1</v>
      </c>
      <c r="BW110" s="134">
        <f>'бюджет округа (района)'!AM110+'бюджеты поселений'!AM110</f>
        <v>0</v>
      </c>
      <c r="BX110" s="137">
        <f>'бюджет округа (района)'!AM110</f>
        <v>0</v>
      </c>
      <c r="BY110" s="137">
        <f t="shared" si="573"/>
        <v>0</v>
      </c>
      <c r="BZ110" s="137">
        <f t="shared" si="573"/>
        <v>0</v>
      </c>
      <c r="CA110" s="135">
        <f t="shared" si="549"/>
        <v>1</v>
      </c>
      <c r="CB110" s="135">
        <f t="shared" si="549"/>
        <v>1</v>
      </c>
      <c r="CC110" s="134">
        <f>'бюджет округа (района)'!AP110+'бюджеты поселений'!AP110</f>
        <v>0</v>
      </c>
      <c r="CD110" s="137">
        <f>'бюджет округа (района)'!AP110</f>
        <v>0</v>
      </c>
      <c r="CE110" s="137">
        <f t="shared" si="574"/>
        <v>0</v>
      </c>
      <c r="CF110" s="137">
        <f t="shared" si="574"/>
        <v>0</v>
      </c>
      <c r="CG110" s="135">
        <f t="shared" si="550"/>
        <v>1</v>
      </c>
      <c r="CH110" s="135">
        <f t="shared" si="550"/>
        <v>1</v>
      </c>
      <c r="CI110" s="134">
        <f>'бюджет округа (района)'!AS110+'бюджеты поселений'!AS110</f>
        <v>0</v>
      </c>
      <c r="CJ110" s="137">
        <f>'бюджет округа (района)'!AS110</f>
        <v>0</v>
      </c>
      <c r="CK110" s="137">
        <f t="shared" si="575"/>
        <v>0</v>
      </c>
      <c r="CL110" s="137">
        <f t="shared" si="575"/>
        <v>0</v>
      </c>
      <c r="CM110" s="135">
        <f t="shared" si="551"/>
        <v>1</v>
      </c>
      <c r="CN110" s="135">
        <f t="shared" si="551"/>
        <v>1</v>
      </c>
      <c r="CO110" s="134">
        <f>'бюджет округа (района)'!AV110+'бюджеты поселений'!AV110</f>
        <v>0</v>
      </c>
      <c r="CP110" s="137">
        <f>'бюджет округа (района)'!AV110</f>
        <v>0</v>
      </c>
      <c r="CQ110" s="137">
        <f t="shared" si="576"/>
        <v>0</v>
      </c>
      <c r="CR110" s="137">
        <f t="shared" si="576"/>
        <v>0</v>
      </c>
      <c r="CS110" s="135">
        <f t="shared" si="552"/>
        <v>1</v>
      </c>
      <c r="CT110" s="135">
        <f t="shared" si="552"/>
        <v>1</v>
      </c>
      <c r="CU110" s="134">
        <f>'бюджет округа (района)'!AY110+'бюджеты поселений'!AY110</f>
        <v>0</v>
      </c>
      <c r="CV110" s="137">
        <f>'бюджет округа (района)'!AY110</f>
        <v>0</v>
      </c>
      <c r="CW110" s="137">
        <f t="shared" si="577"/>
        <v>0</v>
      </c>
      <c r="CX110" s="137">
        <f t="shared" si="577"/>
        <v>0</v>
      </c>
      <c r="CY110" s="135">
        <f t="shared" si="553"/>
        <v>1</v>
      </c>
      <c r="CZ110" s="135">
        <f t="shared" si="553"/>
        <v>1</v>
      </c>
      <c r="DA110" s="134">
        <f>'бюджет округа (района)'!BB110+'бюджеты поселений'!BB110</f>
        <v>0</v>
      </c>
      <c r="DB110" s="137">
        <f>'бюджет округа (района)'!BB110</f>
        <v>0</v>
      </c>
      <c r="DC110" s="137">
        <f t="shared" si="578"/>
        <v>0</v>
      </c>
      <c r="DD110" s="137">
        <f t="shared" si="578"/>
        <v>0</v>
      </c>
      <c r="DE110" s="135">
        <f t="shared" si="554"/>
        <v>1</v>
      </c>
      <c r="DF110" s="135">
        <f t="shared" si="554"/>
        <v>1</v>
      </c>
      <c r="DG110" s="134">
        <f>'бюджет округа (района)'!BE110+'бюджеты поселений'!BE110</f>
        <v>0</v>
      </c>
      <c r="DH110" s="137">
        <f>'бюджет округа (района)'!BE110</f>
        <v>0</v>
      </c>
      <c r="DI110" s="137">
        <f t="shared" si="579"/>
        <v>0</v>
      </c>
      <c r="DJ110" s="137">
        <f t="shared" si="579"/>
        <v>0</v>
      </c>
      <c r="DK110" s="135">
        <f t="shared" si="555"/>
        <v>1</v>
      </c>
      <c r="DL110" s="135">
        <f t="shared" si="555"/>
        <v>1</v>
      </c>
      <c r="DM110" s="134">
        <f>'бюджет округа (района)'!BH110+'бюджеты поселений'!BH110</f>
        <v>0</v>
      </c>
      <c r="DN110" s="137">
        <f>'бюджет округа (района)'!BH110</f>
        <v>0</v>
      </c>
      <c r="DO110" s="134">
        <f>'бюджет округа (района)'!BI110+'бюджеты поселений'!BI110</f>
        <v>0</v>
      </c>
      <c r="DP110" s="137">
        <f>'бюджет округа (района)'!BI110</f>
        <v>0</v>
      </c>
      <c r="DQ110" s="134">
        <f>'бюджет округа (района)'!BJ110+'бюджеты поселений'!BJ110</f>
        <v>0</v>
      </c>
      <c r="DR110" s="137">
        <f>'бюджет округа (района)'!BJ110</f>
        <v>0</v>
      </c>
      <c r="DS110" s="135">
        <f t="shared" si="591"/>
        <v>1</v>
      </c>
      <c r="DT110" s="135">
        <f t="shared" si="592"/>
        <v>1</v>
      </c>
      <c r="DU110" s="135">
        <f t="shared" si="557"/>
        <v>1</v>
      </c>
      <c r="DV110" s="135">
        <f t="shared" si="558"/>
        <v>1</v>
      </c>
      <c r="DW110" s="167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customHeight="1">
      <c r="A111" s="173"/>
      <c r="B111" s="174"/>
      <c r="C111" s="134">
        <f>'бюджет округа (района)'!C111+'бюджеты поселений'!C111</f>
        <v>0</v>
      </c>
      <c r="D111" s="137">
        <f>'бюджет округа (района)'!C111</f>
        <v>0</v>
      </c>
      <c r="E111" s="134">
        <f t="shared" si="589"/>
        <v>0</v>
      </c>
      <c r="F111" s="137">
        <f t="shared" si="589"/>
        <v>0</v>
      </c>
      <c r="G111" s="134">
        <f>'бюджет округа (района)'!E111+'бюджеты поселений'!E111</f>
        <v>0</v>
      </c>
      <c r="H111" s="137">
        <f>'бюджет округа (района)'!E111</f>
        <v>0</v>
      </c>
      <c r="I111" s="134">
        <f>'бюджет округа (района)'!F111+'бюджеты поселений'!F111</f>
        <v>0</v>
      </c>
      <c r="J111" s="137">
        <f>'бюджет округа (района)'!F111</f>
        <v>0</v>
      </c>
      <c r="K111" s="137">
        <f t="shared" si="593"/>
        <v>0</v>
      </c>
      <c r="L111" s="137">
        <f t="shared" si="593"/>
        <v>0</v>
      </c>
      <c r="M111" s="134">
        <f>'бюджет округа (района)'!H111+'бюджеты поселений'!H111</f>
        <v>0</v>
      </c>
      <c r="N111" s="137">
        <f>'бюджет округа (района)'!H111</f>
        <v>0</v>
      </c>
      <c r="O111" s="137">
        <f t="shared" si="590"/>
        <v>0</v>
      </c>
      <c r="P111" s="137">
        <f t="shared" si="590"/>
        <v>0</v>
      </c>
      <c r="Q111" s="134">
        <f>'бюджет округа (района)'!J111+'бюджеты поселений'!J111</f>
        <v>0</v>
      </c>
      <c r="R111" s="137">
        <f>'бюджет округа (района)'!J111</f>
        <v>0</v>
      </c>
      <c r="S111" s="137">
        <f t="shared" si="594"/>
        <v>0</v>
      </c>
      <c r="T111" s="137">
        <f t="shared" si="594"/>
        <v>0</v>
      </c>
      <c r="U111" s="134">
        <f>'бюджет округа (района)'!L111+'бюджеты поселений'!L111</f>
        <v>0</v>
      </c>
      <c r="V111" s="137">
        <f>'бюджет округа (района)'!L111</f>
        <v>0</v>
      </c>
      <c r="W111" s="137">
        <f t="shared" si="595"/>
        <v>0</v>
      </c>
      <c r="X111" s="137">
        <f t="shared" si="595"/>
        <v>0</v>
      </c>
      <c r="Y111" s="134">
        <f>'бюджет округа (района)'!N111+'бюджеты поселений'!N111</f>
        <v>0</v>
      </c>
      <c r="Z111" s="137">
        <f>'бюджет округа (района)'!N111</f>
        <v>0</v>
      </c>
      <c r="AA111" s="137">
        <f t="shared" si="596"/>
        <v>0</v>
      </c>
      <c r="AB111" s="137">
        <f t="shared" si="596"/>
        <v>0</v>
      </c>
      <c r="AC111" s="134">
        <f>'бюджет округа (района)'!P111+'бюджеты поселений'!P111</f>
        <v>0</v>
      </c>
      <c r="AD111" s="137">
        <f>'бюджет округа (района)'!P111</f>
        <v>0</v>
      </c>
      <c r="AE111" s="137">
        <f t="shared" si="597"/>
        <v>0</v>
      </c>
      <c r="AF111" s="137">
        <f t="shared" si="597"/>
        <v>0</v>
      </c>
      <c r="AG111" s="134">
        <f>'бюджет округа (района)'!R111+'бюджеты поселений'!R111</f>
        <v>0</v>
      </c>
      <c r="AH111" s="137">
        <f>'бюджет округа (района)'!R111</f>
        <v>0</v>
      </c>
      <c r="AI111" s="137">
        <f t="shared" si="598"/>
        <v>0</v>
      </c>
      <c r="AJ111" s="137">
        <f t="shared" si="598"/>
        <v>0</v>
      </c>
      <c r="AK111" s="134">
        <f>'бюджет округа (района)'!T111+'бюджеты поселений'!T111</f>
        <v>0</v>
      </c>
      <c r="AL111" s="137">
        <f>'бюджет округа (района)'!T111</f>
        <v>0</v>
      </c>
      <c r="AM111" s="137">
        <f t="shared" si="599"/>
        <v>0</v>
      </c>
      <c r="AN111" s="137">
        <f t="shared" si="599"/>
        <v>0</v>
      </c>
      <c r="AO111" s="134">
        <f>'бюджет округа (района)'!V111+'бюджеты поселений'!V111</f>
        <v>0</v>
      </c>
      <c r="AP111" s="137">
        <f>'бюджет округа (района)'!V111</f>
        <v>0</v>
      </c>
      <c r="AQ111" s="137">
        <f t="shared" si="600"/>
        <v>0</v>
      </c>
      <c r="AR111" s="137">
        <f t="shared" si="600"/>
        <v>0</v>
      </c>
      <c r="AS111" s="134">
        <f>'бюджет округа (района)'!X111+'бюджеты поселений'!X111</f>
        <v>0</v>
      </c>
      <c r="AT111" s="137">
        <f>'бюджет округа (района)'!X111</f>
        <v>0</v>
      </c>
      <c r="AU111" s="137">
        <f t="shared" si="601"/>
        <v>0</v>
      </c>
      <c r="AV111" s="137">
        <f t="shared" si="601"/>
        <v>0</v>
      </c>
      <c r="AW111" s="134">
        <f>'бюджет округа (района)'!Z111+'бюджеты поселений'!Z111</f>
        <v>0</v>
      </c>
      <c r="AX111" s="137">
        <f>'бюджет округа (района)'!Z111</f>
        <v>0</v>
      </c>
      <c r="AY111" s="134">
        <f>'бюджет округа (района)'!AA111+'бюджеты поселений'!AA111</f>
        <v>0</v>
      </c>
      <c r="AZ111" s="137">
        <f>'бюджет округа (района)'!AA111</f>
        <v>0</v>
      </c>
      <c r="BA111" s="135">
        <f t="shared" si="581"/>
        <v>1</v>
      </c>
      <c r="BB111" s="135">
        <f t="shared" si="581"/>
        <v>1</v>
      </c>
      <c r="BC111" s="134">
        <f>'бюджет округа (района)'!AC111+'бюджеты поселений'!AC111</f>
        <v>0</v>
      </c>
      <c r="BD111" s="137">
        <f>'бюджет округа (района)'!AC111</f>
        <v>0</v>
      </c>
      <c r="BE111" s="134">
        <f>'бюджет округа (района)'!AD111+'бюджеты поселений'!AD111</f>
        <v>0</v>
      </c>
      <c r="BF111" s="137">
        <f>'бюджет округа (района)'!AD111</f>
        <v>0</v>
      </c>
      <c r="BG111" s="137">
        <f t="shared" si="602"/>
        <v>0</v>
      </c>
      <c r="BH111" s="137">
        <f t="shared" si="602"/>
        <v>0</v>
      </c>
      <c r="BI111" s="135">
        <f t="shared" si="546"/>
        <v>1</v>
      </c>
      <c r="BJ111" s="135">
        <f t="shared" si="546"/>
        <v>1</v>
      </c>
      <c r="BK111" s="134">
        <f>'бюджет округа (района)'!AG111+'бюджеты поселений'!AG111</f>
        <v>0</v>
      </c>
      <c r="BL111" s="137">
        <f>'бюджет округа (района)'!AG111</f>
        <v>0</v>
      </c>
      <c r="BM111" s="137">
        <f t="shared" si="571"/>
        <v>0</v>
      </c>
      <c r="BN111" s="137">
        <f t="shared" si="571"/>
        <v>0</v>
      </c>
      <c r="BO111" s="135">
        <f t="shared" si="547"/>
        <v>1</v>
      </c>
      <c r="BP111" s="135">
        <f t="shared" si="547"/>
        <v>1</v>
      </c>
      <c r="BQ111" s="134">
        <f>'бюджет округа (района)'!AJ111+'бюджеты поселений'!AJ111</f>
        <v>0</v>
      </c>
      <c r="BR111" s="137">
        <f>'бюджет округа (района)'!AJ111</f>
        <v>0</v>
      </c>
      <c r="BS111" s="137">
        <f t="shared" si="572"/>
        <v>0</v>
      </c>
      <c r="BT111" s="137">
        <f t="shared" si="572"/>
        <v>0</v>
      </c>
      <c r="BU111" s="135">
        <f t="shared" si="548"/>
        <v>1</v>
      </c>
      <c r="BV111" s="135">
        <f t="shared" si="548"/>
        <v>1</v>
      </c>
      <c r="BW111" s="134">
        <f>'бюджет округа (района)'!AM111+'бюджеты поселений'!AM111</f>
        <v>0</v>
      </c>
      <c r="BX111" s="137">
        <f>'бюджет округа (района)'!AM111</f>
        <v>0</v>
      </c>
      <c r="BY111" s="137">
        <f t="shared" si="573"/>
        <v>0</v>
      </c>
      <c r="BZ111" s="137">
        <f t="shared" si="573"/>
        <v>0</v>
      </c>
      <c r="CA111" s="135">
        <f t="shared" si="549"/>
        <v>1</v>
      </c>
      <c r="CB111" s="135">
        <f t="shared" si="549"/>
        <v>1</v>
      </c>
      <c r="CC111" s="134">
        <f>'бюджет округа (района)'!AP111+'бюджеты поселений'!AP111</f>
        <v>0</v>
      </c>
      <c r="CD111" s="137">
        <f>'бюджет округа (района)'!AP111</f>
        <v>0</v>
      </c>
      <c r="CE111" s="137">
        <f t="shared" si="574"/>
        <v>0</v>
      </c>
      <c r="CF111" s="137">
        <f t="shared" si="574"/>
        <v>0</v>
      </c>
      <c r="CG111" s="135">
        <f t="shared" si="550"/>
        <v>1</v>
      </c>
      <c r="CH111" s="135">
        <f t="shared" si="550"/>
        <v>1</v>
      </c>
      <c r="CI111" s="134">
        <f>'бюджет округа (района)'!AS111+'бюджеты поселений'!AS111</f>
        <v>0</v>
      </c>
      <c r="CJ111" s="137">
        <f>'бюджет округа (района)'!AS111</f>
        <v>0</v>
      </c>
      <c r="CK111" s="137">
        <f t="shared" si="575"/>
        <v>0</v>
      </c>
      <c r="CL111" s="137">
        <f t="shared" si="575"/>
        <v>0</v>
      </c>
      <c r="CM111" s="135">
        <f t="shared" si="551"/>
        <v>1</v>
      </c>
      <c r="CN111" s="135">
        <f t="shared" si="551"/>
        <v>1</v>
      </c>
      <c r="CO111" s="134">
        <f>'бюджет округа (района)'!AV111+'бюджеты поселений'!AV111</f>
        <v>0</v>
      </c>
      <c r="CP111" s="137">
        <f>'бюджет округа (района)'!AV111</f>
        <v>0</v>
      </c>
      <c r="CQ111" s="137">
        <f t="shared" si="576"/>
        <v>0</v>
      </c>
      <c r="CR111" s="137">
        <f t="shared" si="576"/>
        <v>0</v>
      </c>
      <c r="CS111" s="135">
        <f t="shared" si="552"/>
        <v>1</v>
      </c>
      <c r="CT111" s="135">
        <f t="shared" si="552"/>
        <v>1</v>
      </c>
      <c r="CU111" s="134">
        <f>'бюджет округа (района)'!AY111+'бюджеты поселений'!AY111</f>
        <v>0</v>
      </c>
      <c r="CV111" s="137">
        <f>'бюджет округа (района)'!AY111</f>
        <v>0</v>
      </c>
      <c r="CW111" s="137">
        <f t="shared" si="577"/>
        <v>0</v>
      </c>
      <c r="CX111" s="137">
        <f t="shared" si="577"/>
        <v>0</v>
      </c>
      <c r="CY111" s="135">
        <f t="shared" si="553"/>
        <v>1</v>
      </c>
      <c r="CZ111" s="135">
        <f t="shared" si="553"/>
        <v>1</v>
      </c>
      <c r="DA111" s="134">
        <f>'бюджет округа (района)'!BB111+'бюджеты поселений'!BB111</f>
        <v>0</v>
      </c>
      <c r="DB111" s="137">
        <f>'бюджет округа (района)'!BB111</f>
        <v>0</v>
      </c>
      <c r="DC111" s="137">
        <f t="shared" si="578"/>
        <v>0</v>
      </c>
      <c r="DD111" s="137">
        <f t="shared" si="578"/>
        <v>0</v>
      </c>
      <c r="DE111" s="135">
        <f t="shared" si="554"/>
        <v>1</v>
      </c>
      <c r="DF111" s="135">
        <f t="shared" si="554"/>
        <v>1</v>
      </c>
      <c r="DG111" s="134">
        <f>'бюджет округа (района)'!BE111+'бюджеты поселений'!BE111</f>
        <v>0</v>
      </c>
      <c r="DH111" s="137">
        <f>'бюджет округа (района)'!BE111</f>
        <v>0</v>
      </c>
      <c r="DI111" s="137">
        <f t="shared" si="579"/>
        <v>0</v>
      </c>
      <c r="DJ111" s="137">
        <f t="shared" si="579"/>
        <v>0</v>
      </c>
      <c r="DK111" s="135">
        <f t="shared" si="555"/>
        <v>1</v>
      </c>
      <c r="DL111" s="135">
        <f t="shared" si="555"/>
        <v>1</v>
      </c>
      <c r="DM111" s="134">
        <f>'бюджет округа (района)'!BH111+'бюджеты поселений'!BH111</f>
        <v>0</v>
      </c>
      <c r="DN111" s="137">
        <f>'бюджет округа (района)'!BH111</f>
        <v>0</v>
      </c>
      <c r="DO111" s="134">
        <f>'бюджет округа (района)'!BI111+'бюджеты поселений'!BI111</f>
        <v>0</v>
      </c>
      <c r="DP111" s="137">
        <f>'бюджет округа (района)'!BI111</f>
        <v>0</v>
      </c>
      <c r="DQ111" s="134">
        <f>'бюджет округа (района)'!BJ111+'бюджеты поселений'!BJ111</f>
        <v>0</v>
      </c>
      <c r="DR111" s="137">
        <f>'бюджет округа (района)'!BJ111</f>
        <v>0</v>
      </c>
      <c r="DS111" s="135">
        <f t="shared" si="591"/>
        <v>1</v>
      </c>
      <c r="DT111" s="135">
        <f t="shared" si="592"/>
        <v>1</v>
      </c>
      <c r="DU111" s="135">
        <f t="shared" si="557"/>
        <v>1</v>
      </c>
      <c r="DV111" s="135">
        <f t="shared" si="558"/>
        <v>1</v>
      </c>
      <c r="DW111" s="167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customHeight="1">
      <c r="A112" s="230"/>
      <c r="B112" s="231"/>
      <c r="C112" s="134">
        <f>'бюджет округа (района)'!C112+'бюджеты поселений'!C112</f>
        <v>0</v>
      </c>
      <c r="D112" s="137">
        <f>'бюджет округа (района)'!C112</f>
        <v>0</v>
      </c>
      <c r="E112" s="134">
        <f t="shared" si="589"/>
        <v>0</v>
      </c>
      <c r="F112" s="137">
        <f t="shared" si="589"/>
        <v>0</v>
      </c>
      <c r="G112" s="134">
        <f>'бюджет округа (района)'!E112+'бюджеты поселений'!E112</f>
        <v>0</v>
      </c>
      <c r="H112" s="137">
        <f>'бюджет округа (района)'!E112</f>
        <v>0</v>
      </c>
      <c r="I112" s="134">
        <f>'бюджет округа (района)'!F112+'бюджеты поселений'!F112</f>
        <v>0</v>
      </c>
      <c r="J112" s="137">
        <f>'бюджет округа (района)'!F112</f>
        <v>0</v>
      </c>
      <c r="K112" s="137">
        <f t="shared" si="593"/>
        <v>0</v>
      </c>
      <c r="L112" s="137">
        <f t="shared" si="593"/>
        <v>0</v>
      </c>
      <c r="M112" s="134">
        <f>'бюджет округа (района)'!H112+'бюджеты поселений'!H112</f>
        <v>0</v>
      </c>
      <c r="N112" s="137">
        <f>'бюджет округа (района)'!H112</f>
        <v>0</v>
      </c>
      <c r="O112" s="137">
        <f t="shared" si="590"/>
        <v>0</v>
      </c>
      <c r="P112" s="137">
        <f t="shared" si="590"/>
        <v>0</v>
      </c>
      <c r="Q112" s="134">
        <f>'бюджет округа (района)'!J112+'бюджеты поселений'!J112</f>
        <v>0</v>
      </c>
      <c r="R112" s="137">
        <f>'бюджет округа (района)'!J112</f>
        <v>0</v>
      </c>
      <c r="S112" s="137">
        <f t="shared" si="594"/>
        <v>0</v>
      </c>
      <c r="T112" s="137">
        <f t="shared" si="594"/>
        <v>0</v>
      </c>
      <c r="U112" s="134">
        <f>'бюджет округа (района)'!L112+'бюджеты поселений'!L112</f>
        <v>0</v>
      </c>
      <c r="V112" s="137">
        <f>'бюджет округа (района)'!L112</f>
        <v>0</v>
      </c>
      <c r="W112" s="137">
        <f t="shared" si="595"/>
        <v>0</v>
      </c>
      <c r="X112" s="137">
        <f t="shared" si="595"/>
        <v>0</v>
      </c>
      <c r="Y112" s="134">
        <f>'бюджет округа (района)'!N112+'бюджеты поселений'!N112</f>
        <v>0</v>
      </c>
      <c r="Z112" s="137">
        <f>'бюджет округа (района)'!N112</f>
        <v>0</v>
      </c>
      <c r="AA112" s="137">
        <f t="shared" si="596"/>
        <v>0</v>
      </c>
      <c r="AB112" s="137">
        <f t="shared" si="596"/>
        <v>0</v>
      </c>
      <c r="AC112" s="134">
        <f>'бюджет округа (района)'!P112+'бюджеты поселений'!P112</f>
        <v>0</v>
      </c>
      <c r="AD112" s="137">
        <f>'бюджет округа (района)'!P112</f>
        <v>0</v>
      </c>
      <c r="AE112" s="137">
        <f t="shared" si="597"/>
        <v>0</v>
      </c>
      <c r="AF112" s="137">
        <f t="shared" si="597"/>
        <v>0</v>
      </c>
      <c r="AG112" s="134">
        <f>'бюджет округа (района)'!R112+'бюджеты поселений'!R112</f>
        <v>0</v>
      </c>
      <c r="AH112" s="137">
        <f>'бюджет округа (района)'!R112</f>
        <v>0</v>
      </c>
      <c r="AI112" s="137">
        <f t="shared" si="598"/>
        <v>0</v>
      </c>
      <c r="AJ112" s="137">
        <f t="shared" si="598"/>
        <v>0</v>
      </c>
      <c r="AK112" s="134">
        <f>'бюджет округа (района)'!T112+'бюджеты поселений'!T112</f>
        <v>0</v>
      </c>
      <c r="AL112" s="137">
        <f>'бюджет округа (района)'!T112</f>
        <v>0</v>
      </c>
      <c r="AM112" s="137">
        <f t="shared" si="599"/>
        <v>0</v>
      </c>
      <c r="AN112" s="137">
        <f t="shared" si="599"/>
        <v>0</v>
      </c>
      <c r="AO112" s="134">
        <f>'бюджет округа (района)'!V112+'бюджеты поселений'!V112</f>
        <v>0</v>
      </c>
      <c r="AP112" s="137">
        <f>'бюджет округа (района)'!V112</f>
        <v>0</v>
      </c>
      <c r="AQ112" s="137">
        <f t="shared" si="600"/>
        <v>0</v>
      </c>
      <c r="AR112" s="137">
        <f t="shared" si="600"/>
        <v>0</v>
      </c>
      <c r="AS112" s="134">
        <f>'бюджет округа (района)'!X112+'бюджеты поселений'!X112</f>
        <v>0</v>
      </c>
      <c r="AT112" s="137">
        <f>'бюджет округа (района)'!X112</f>
        <v>0</v>
      </c>
      <c r="AU112" s="137">
        <f t="shared" si="601"/>
        <v>0</v>
      </c>
      <c r="AV112" s="137">
        <f t="shared" si="601"/>
        <v>0</v>
      </c>
      <c r="AW112" s="134">
        <f>'бюджет округа (района)'!Z112+'бюджеты поселений'!Z112</f>
        <v>0</v>
      </c>
      <c r="AX112" s="137">
        <f>'бюджет округа (района)'!Z112</f>
        <v>0</v>
      </c>
      <c r="AY112" s="134">
        <f>'бюджет округа (района)'!AA112+'бюджеты поселений'!AA112</f>
        <v>0</v>
      </c>
      <c r="AZ112" s="137">
        <f>'бюджет округа (района)'!AA112</f>
        <v>0</v>
      </c>
      <c r="BA112" s="135">
        <f t="shared" si="581"/>
        <v>1</v>
      </c>
      <c r="BB112" s="135">
        <f t="shared" si="581"/>
        <v>1</v>
      </c>
      <c r="BC112" s="134">
        <f>'бюджет округа (района)'!AC112+'бюджеты поселений'!AC112</f>
        <v>0</v>
      </c>
      <c r="BD112" s="137">
        <f>'бюджет округа (района)'!AC112</f>
        <v>0</v>
      </c>
      <c r="BE112" s="134">
        <f>'бюджет округа (района)'!AD112+'бюджеты поселений'!AD112</f>
        <v>0</v>
      </c>
      <c r="BF112" s="137">
        <f>'бюджет округа (района)'!AD112</f>
        <v>0</v>
      </c>
      <c r="BG112" s="137">
        <f t="shared" si="602"/>
        <v>0</v>
      </c>
      <c r="BH112" s="137">
        <f t="shared" si="602"/>
        <v>0</v>
      </c>
      <c r="BI112" s="135">
        <f t="shared" si="546"/>
        <v>1</v>
      </c>
      <c r="BJ112" s="135">
        <f t="shared" si="546"/>
        <v>1</v>
      </c>
      <c r="BK112" s="134">
        <f>'бюджет округа (района)'!AG112+'бюджеты поселений'!AG112</f>
        <v>0</v>
      </c>
      <c r="BL112" s="137">
        <f>'бюджет округа (района)'!AG112</f>
        <v>0</v>
      </c>
      <c r="BM112" s="137">
        <f t="shared" si="571"/>
        <v>0</v>
      </c>
      <c r="BN112" s="137">
        <f t="shared" si="571"/>
        <v>0</v>
      </c>
      <c r="BO112" s="135">
        <f t="shared" si="547"/>
        <v>1</v>
      </c>
      <c r="BP112" s="135">
        <f t="shared" si="547"/>
        <v>1</v>
      </c>
      <c r="BQ112" s="134">
        <f>'бюджет округа (района)'!AJ112+'бюджеты поселений'!AJ112</f>
        <v>0</v>
      </c>
      <c r="BR112" s="137">
        <f>'бюджет округа (района)'!AJ112</f>
        <v>0</v>
      </c>
      <c r="BS112" s="137">
        <f t="shared" si="572"/>
        <v>0</v>
      </c>
      <c r="BT112" s="137">
        <f t="shared" si="572"/>
        <v>0</v>
      </c>
      <c r="BU112" s="135">
        <f t="shared" si="548"/>
        <v>1</v>
      </c>
      <c r="BV112" s="135">
        <f t="shared" si="548"/>
        <v>1</v>
      </c>
      <c r="BW112" s="134">
        <f>'бюджет округа (района)'!AM112+'бюджеты поселений'!AM112</f>
        <v>0</v>
      </c>
      <c r="BX112" s="137">
        <f>'бюджет округа (района)'!AM112</f>
        <v>0</v>
      </c>
      <c r="BY112" s="137">
        <f t="shared" si="573"/>
        <v>0</v>
      </c>
      <c r="BZ112" s="137">
        <f t="shared" si="573"/>
        <v>0</v>
      </c>
      <c r="CA112" s="135">
        <f t="shared" si="549"/>
        <v>1</v>
      </c>
      <c r="CB112" s="135">
        <f t="shared" si="549"/>
        <v>1</v>
      </c>
      <c r="CC112" s="134">
        <f>'бюджет округа (района)'!AP112+'бюджеты поселений'!AP112</f>
        <v>0</v>
      </c>
      <c r="CD112" s="137">
        <f>'бюджет округа (района)'!AP112</f>
        <v>0</v>
      </c>
      <c r="CE112" s="137">
        <f t="shared" si="574"/>
        <v>0</v>
      </c>
      <c r="CF112" s="137">
        <f t="shared" si="574"/>
        <v>0</v>
      </c>
      <c r="CG112" s="135">
        <f t="shared" si="550"/>
        <v>1</v>
      </c>
      <c r="CH112" s="135">
        <f t="shared" si="550"/>
        <v>1</v>
      </c>
      <c r="CI112" s="134">
        <f>'бюджет округа (района)'!AS112+'бюджеты поселений'!AS112</f>
        <v>0</v>
      </c>
      <c r="CJ112" s="137">
        <f>'бюджет округа (района)'!AS112</f>
        <v>0</v>
      </c>
      <c r="CK112" s="137">
        <f t="shared" si="575"/>
        <v>0</v>
      </c>
      <c r="CL112" s="137">
        <f t="shared" si="575"/>
        <v>0</v>
      </c>
      <c r="CM112" s="135">
        <f t="shared" si="551"/>
        <v>1</v>
      </c>
      <c r="CN112" s="135">
        <f t="shared" si="551"/>
        <v>1</v>
      </c>
      <c r="CO112" s="134">
        <f>'бюджет округа (района)'!AV112+'бюджеты поселений'!AV112</f>
        <v>0</v>
      </c>
      <c r="CP112" s="137">
        <f>'бюджет округа (района)'!AV112</f>
        <v>0</v>
      </c>
      <c r="CQ112" s="137">
        <f t="shared" si="576"/>
        <v>0</v>
      </c>
      <c r="CR112" s="137">
        <f t="shared" si="576"/>
        <v>0</v>
      </c>
      <c r="CS112" s="135">
        <f t="shared" si="552"/>
        <v>1</v>
      </c>
      <c r="CT112" s="135">
        <f t="shared" si="552"/>
        <v>1</v>
      </c>
      <c r="CU112" s="134">
        <f>'бюджет округа (района)'!AY112+'бюджеты поселений'!AY112</f>
        <v>0</v>
      </c>
      <c r="CV112" s="137">
        <f>'бюджет округа (района)'!AY112</f>
        <v>0</v>
      </c>
      <c r="CW112" s="137">
        <f t="shared" si="577"/>
        <v>0</v>
      </c>
      <c r="CX112" s="137">
        <f t="shared" si="577"/>
        <v>0</v>
      </c>
      <c r="CY112" s="135">
        <f t="shared" si="553"/>
        <v>1</v>
      </c>
      <c r="CZ112" s="135">
        <f t="shared" si="553"/>
        <v>1</v>
      </c>
      <c r="DA112" s="134">
        <f>'бюджет округа (района)'!BB112+'бюджеты поселений'!BB112</f>
        <v>0</v>
      </c>
      <c r="DB112" s="137">
        <f>'бюджет округа (района)'!BB112</f>
        <v>0</v>
      </c>
      <c r="DC112" s="137">
        <f t="shared" si="578"/>
        <v>0</v>
      </c>
      <c r="DD112" s="137">
        <f t="shared" si="578"/>
        <v>0</v>
      </c>
      <c r="DE112" s="135">
        <f t="shared" si="554"/>
        <v>1</v>
      </c>
      <c r="DF112" s="135">
        <f t="shared" si="554"/>
        <v>1</v>
      </c>
      <c r="DG112" s="134">
        <f>'бюджет округа (района)'!BE112+'бюджеты поселений'!BE112</f>
        <v>0</v>
      </c>
      <c r="DH112" s="137">
        <f>'бюджет округа (района)'!BE112</f>
        <v>0</v>
      </c>
      <c r="DI112" s="137">
        <f t="shared" si="579"/>
        <v>0</v>
      </c>
      <c r="DJ112" s="137">
        <f t="shared" si="579"/>
        <v>0</v>
      </c>
      <c r="DK112" s="135">
        <f t="shared" si="555"/>
        <v>1</v>
      </c>
      <c r="DL112" s="135">
        <f t="shared" si="555"/>
        <v>1</v>
      </c>
      <c r="DM112" s="134">
        <f>'бюджет округа (района)'!BH112+'бюджеты поселений'!BH112</f>
        <v>0</v>
      </c>
      <c r="DN112" s="137">
        <f>'бюджет округа (района)'!BH112</f>
        <v>0</v>
      </c>
      <c r="DO112" s="134">
        <f>'бюджет округа (района)'!BI112+'бюджеты поселений'!BI112</f>
        <v>0</v>
      </c>
      <c r="DP112" s="137">
        <f>'бюджет округа (района)'!BI112</f>
        <v>0</v>
      </c>
      <c r="DQ112" s="134">
        <f>'бюджет округа (района)'!BJ112+'бюджеты поселений'!BJ112</f>
        <v>0</v>
      </c>
      <c r="DR112" s="137">
        <f>'бюджет округа (района)'!BJ112</f>
        <v>0</v>
      </c>
      <c r="DS112" s="135">
        <f t="shared" si="591"/>
        <v>1</v>
      </c>
      <c r="DT112" s="135">
        <f t="shared" si="592"/>
        <v>1</v>
      </c>
      <c r="DU112" s="135">
        <f t="shared" si="557"/>
        <v>1</v>
      </c>
      <c r="DV112" s="135">
        <f t="shared" si="558"/>
        <v>1</v>
      </c>
      <c r="DW112" s="167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44.25" customHeight="1">
      <c r="A113" s="232"/>
      <c r="B113" s="233"/>
      <c r="C113" s="227" t="str">
        <f>DQ113</f>
        <v>на 1 января  очередного финансового года</v>
      </c>
      <c r="D113" s="227"/>
      <c r="E113" s="227" t="str">
        <f>C113</f>
        <v>на 1 января  очередного финансового года</v>
      </c>
      <c r="F113" s="227"/>
      <c r="G113" s="226" t="s">
        <v>69</v>
      </c>
      <c r="H113" s="226"/>
      <c r="I113" s="226" t="s">
        <v>70</v>
      </c>
      <c r="J113" s="226"/>
      <c r="K113" s="223" t="s">
        <v>151</v>
      </c>
      <c r="L113" s="223"/>
      <c r="M113" s="226" t="s">
        <v>14</v>
      </c>
      <c r="N113" s="226"/>
      <c r="O113" s="223" t="s">
        <v>151</v>
      </c>
      <c r="P113" s="223"/>
      <c r="Q113" s="226" t="s">
        <v>137</v>
      </c>
      <c r="R113" s="226"/>
      <c r="S113" s="223" t="s">
        <v>151</v>
      </c>
      <c r="T113" s="223"/>
      <c r="U113" s="226" t="s">
        <v>138</v>
      </c>
      <c r="V113" s="226"/>
      <c r="W113" s="223" t="s">
        <v>151</v>
      </c>
      <c r="X113" s="223"/>
      <c r="Y113" s="226" t="s">
        <v>83</v>
      </c>
      <c r="Z113" s="226"/>
      <c r="AA113" s="223" t="s">
        <v>151</v>
      </c>
      <c r="AB113" s="223"/>
      <c r="AC113" s="226" t="s">
        <v>84</v>
      </c>
      <c r="AD113" s="226"/>
      <c r="AE113" s="223" t="s">
        <v>151</v>
      </c>
      <c r="AF113" s="223"/>
      <c r="AG113" s="226" t="s">
        <v>85</v>
      </c>
      <c r="AH113" s="226"/>
      <c r="AI113" s="223" t="s">
        <v>151</v>
      </c>
      <c r="AJ113" s="223"/>
      <c r="AK113" s="226" t="s">
        <v>86</v>
      </c>
      <c r="AL113" s="226"/>
      <c r="AM113" s="223" t="s">
        <v>151</v>
      </c>
      <c r="AN113" s="223"/>
      <c r="AO113" s="226" t="s">
        <v>87</v>
      </c>
      <c r="AP113" s="226"/>
      <c r="AQ113" s="223" t="s">
        <v>151</v>
      </c>
      <c r="AR113" s="223"/>
      <c r="AS113" s="226" t="s">
        <v>88</v>
      </c>
      <c r="AT113" s="226"/>
      <c r="AU113" s="223" t="s">
        <v>151</v>
      </c>
      <c r="AV113" s="223"/>
      <c r="AW113" s="227" t="str">
        <f>E113</f>
        <v>на 1 января  очередного финансового года</v>
      </c>
      <c r="AX113" s="227"/>
      <c r="AY113" s="227" t="s">
        <v>71</v>
      </c>
      <c r="AZ113" s="227"/>
      <c r="BA113" s="223" t="str">
        <f>BA6</f>
        <v>Темп роста (снижения) к исполнено за отчетный год, %</v>
      </c>
      <c r="BB113" s="223"/>
      <c r="BC113" s="226" t="s">
        <v>69</v>
      </c>
      <c r="BD113" s="226"/>
      <c r="BE113" s="226" t="s">
        <v>70</v>
      </c>
      <c r="BF113" s="226"/>
      <c r="BG113" s="223" t="s">
        <v>152</v>
      </c>
      <c r="BH113" s="223"/>
      <c r="BI113" s="223" t="str">
        <f>BI7</f>
        <v>Темп роста (снижения) к исполнено за отчетный год, %</v>
      </c>
      <c r="BJ113" s="223"/>
      <c r="BK113" s="226" t="s">
        <v>14</v>
      </c>
      <c r="BL113" s="226"/>
      <c r="BM113" s="223" t="s">
        <v>152</v>
      </c>
      <c r="BN113" s="223"/>
      <c r="BO113" s="223" t="str">
        <f>BO7</f>
        <v>Темп роста (снижения) к исполнено за отчетный год, %</v>
      </c>
      <c r="BP113" s="223"/>
      <c r="BQ113" s="226" t="s">
        <v>81</v>
      </c>
      <c r="BR113" s="226"/>
      <c r="BS113" s="223" t="s">
        <v>152</v>
      </c>
      <c r="BT113" s="223"/>
      <c r="BU113" s="223" t="str">
        <f>BU7</f>
        <v>Темп роста (снижения) к исполнено за отчетный год, %</v>
      </c>
      <c r="BV113" s="223"/>
      <c r="BW113" s="226" t="s">
        <v>82</v>
      </c>
      <c r="BX113" s="226"/>
      <c r="BY113" s="223" t="s">
        <v>152</v>
      </c>
      <c r="BZ113" s="223"/>
      <c r="CA113" s="223" t="str">
        <f>CA7</f>
        <v>Темп роста (снижения) к исполнено за отчетный год, %</v>
      </c>
      <c r="CB113" s="223"/>
      <c r="CC113" s="226" t="s">
        <v>83</v>
      </c>
      <c r="CD113" s="226"/>
      <c r="CE113" s="223" t="s">
        <v>152</v>
      </c>
      <c r="CF113" s="223"/>
      <c r="CG113" s="223" t="str">
        <f>CG7</f>
        <v>Темп роста (снижения) к исполнено за отчетный год, %</v>
      </c>
      <c r="CH113" s="223"/>
      <c r="CI113" s="226" t="s">
        <v>84</v>
      </c>
      <c r="CJ113" s="226"/>
      <c r="CK113" s="223" t="s">
        <v>152</v>
      </c>
      <c r="CL113" s="223"/>
      <c r="CM113" s="223" t="str">
        <f>CM7</f>
        <v>Темп роста (снижения) к исполнено за отчетный год, %</v>
      </c>
      <c r="CN113" s="223"/>
      <c r="CO113" s="226" t="s">
        <v>85</v>
      </c>
      <c r="CP113" s="226"/>
      <c r="CQ113" s="223" t="s">
        <v>152</v>
      </c>
      <c r="CR113" s="223"/>
      <c r="CS113" s="223" t="str">
        <f>CS7</f>
        <v>Темп роста (снижения) к исполнено за отчетный год, %</v>
      </c>
      <c r="CT113" s="223"/>
      <c r="CU113" s="226" t="s">
        <v>86</v>
      </c>
      <c r="CV113" s="226"/>
      <c r="CW113" s="223" t="s">
        <v>152</v>
      </c>
      <c r="CX113" s="223"/>
      <c r="CY113" s="223" t="str">
        <f>CY7</f>
        <v>Темп роста (снижения) к исполнено за отчетный год, %</v>
      </c>
      <c r="CZ113" s="223"/>
      <c r="DA113" s="226" t="s">
        <v>87</v>
      </c>
      <c r="DB113" s="226"/>
      <c r="DC113" s="223" t="s">
        <v>152</v>
      </c>
      <c r="DD113" s="223"/>
      <c r="DE113" s="223" t="str">
        <f>DE7</f>
        <v>Темп роста (снижения) к исполнено за отчетный год, %</v>
      </c>
      <c r="DF113" s="223"/>
      <c r="DG113" s="226" t="s">
        <v>88</v>
      </c>
      <c r="DH113" s="226"/>
      <c r="DI113" s="223" t="s">
        <v>152</v>
      </c>
      <c r="DJ113" s="223"/>
      <c r="DK113" s="223" t="str">
        <f>DK7</f>
        <v>Темп роста (снижения) к исполнено за отчетный год, %</v>
      </c>
      <c r="DL113" s="223"/>
      <c r="DM113" s="223" t="str">
        <f>AY113</f>
        <v>на 1 января  очередного финансового года</v>
      </c>
      <c r="DN113" s="223"/>
      <c r="DO113" s="223" t="str">
        <f>DO7</f>
        <v>Ожидаемая оценка на __________</v>
      </c>
      <c r="DP113" s="223"/>
      <c r="DQ113" s="223" t="s">
        <v>71</v>
      </c>
      <c r="DR113" s="223"/>
      <c r="DS113" s="223" t="str">
        <f>DS6</f>
        <v>Темп роста (снижения) к утверждено на текущий год, %</v>
      </c>
      <c r="DT113" s="223"/>
      <c r="DU113" s="223" t="str">
        <f>DU6</f>
        <v>Темп роста (снижения) к исполнено за отчетный год, %</v>
      </c>
      <c r="DV113" s="223"/>
      <c r="DW113" s="123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224" t="s">
        <v>153</v>
      </c>
      <c r="B114" s="225"/>
      <c r="C114" s="17">
        <f>'бюджет округа (района)'!C114+'бюджеты поселений'!C114</f>
        <v>0</v>
      </c>
      <c r="D114" s="17">
        <f>'бюджет округа (района)'!C114</f>
        <v>0</v>
      </c>
      <c r="E114" s="17"/>
      <c r="F114" s="17"/>
      <c r="G114" s="17">
        <f>'бюджет округа (района)'!E114+'бюджеты поселений'!E114</f>
        <v>0</v>
      </c>
      <c r="H114" s="17">
        <f>'бюджет округа (района)'!E114</f>
        <v>0</v>
      </c>
      <c r="I114" s="17">
        <f>'бюджет округа (района)'!F114+'бюджеты поселений'!F114</f>
        <v>0</v>
      </c>
      <c r="J114" s="17">
        <f>'бюджет округа (района)'!F114</f>
        <v>0</v>
      </c>
      <c r="K114" s="17">
        <f>I114-$C114</f>
        <v>0</v>
      </c>
      <c r="L114" s="17">
        <f>J114-$D114</f>
        <v>0</v>
      </c>
      <c r="M114" s="17">
        <f>'бюджет округа (района)'!H114+'бюджеты поселений'!H114</f>
        <v>0</v>
      </c>
      <c r="N114" s="17">
        <f>'бюджет округа (района)'!H114</f>
        <v>0</v>
      </c>
      <c r="O114" s="17">
        <f>M114-$C114</f>
        <v>0</v>
      </c>
      <c r="P114" s="17">
        <f>N114-$D114</f>
        <v>0</v>
      </c>
      <c r="Q114" s="17">
        <f>'бюджет округа (района)'!J114+'бюджеты поселений'!J114</f>
        <v>0</v>
      </c>
      <c r="R114" s="17">
        <f>'бюджет округа (района)'!J114</f>
        <v>0</v>
      </c>
      <c r="S114" s="17">
        <f>Q114-$C114</f>
        <v>0</v>
      </c>
      <c r="T114" s="17">
        <f>R114-$D114</f>
        <v>0</v>
      </c>
      <c r="U114" s="17">
        <f>'бюджет округа (района)'!L114+'бюджеты поселений'!L114</f>
        <v>0</v>
      </c>
      <c r="V114" s="17">
        <f>'бюджет округа (района)'!L114</f>
        <v>0</v>
      </c>
      <c r="W114" s="17">
        <f>U114-$C114</f>
        <v>0</v>
      </c>
      <c r="X114" s="17">
        <f>V114-$D114</f>
        <v>0</v>
      </c>
      <c r="Y114" s="17">
        <f>'бюджет округа (района)'!N114+'бюджеты поселений'!N114</f>
        <v>0</v>
      </c>
      <c r="Z114" s="17">
        <f>'бюджет округа (района)'!N114</f>
        <v>0</v>
      </c>
      <c r="AA114" s="17">
        <f>Y114-$C114</f>
        <v>0</v>
      </c>
      <c r="AB114" s="17">
        <f>Z114-$D114</f>
        <v>0</v>
      </c>
      <c r="AC114" s="17">
        <f>'бюджет округа (района)'!P114+'бюджеты поселений'!P114</f>
        <v>0</v>
      </c>
      <c r="AD114" s="17">
        <f>'бюджет округа (района)'!P114</f>
        <v>0</v>
      </c>
      <c r="AE114" s="17">
        <f>AC114-$C114</f>
        <v>0</v>
      </c>
      <c r="AF114" s="17">
        <f>AD114-$D114</f>
        <v>0</v>
      </c>
      <c r="AG114" s="17">
        <f>'бюджет округа (района)'!R114+'бюджеты поселений'!R114</f>
        <v>0</v>
      </c>
      <c r="AH114" s="17">
        <f>'бюджет округа (района)'!R114</f>
        <v>0</v>
      </c>
      <c r="AI114" s="17">
        <f>AG114-$C114</f>
        <v>0</v>
      </c>
      <c r="AJ114" s="17">
        <f>AH114-$D114</f>
        <v>0</v>
      </c>
      <c r="AK114" s="17">
        <f>'бюджет округа (района)'!T114+'бюджеты поселений'!T114</f>
        <v>0</v>
      </c>
      <c r="AL114" s="17">
        <f>'бюджет округа (района)'!T114</f>
        <v>0</v>
      </c>
      <c r="AM114" s="17">
        <f>AK114-$C114</f>
        <v>0</v>
      </c>
      <c r="AN114" s="17">
        <f>AL114-$D114</f>
        <v>0</v>
      </c>
      <c r="AO114" s="17">
        <f>'бюджет округа (района)'!V114+'бюджеты поселений'!V114</f>
        <v>0</v>
      </c>
      <c r="AP114" s="17">
        <f>'бюджет округа (района)'!V114</f>
        <v>0</v>
      </c>
      <c r="AQ114" s="17">
        <f>AO114-$C114</f>
        <v>0</v>
      </c>
      <c r="AR114" s="17">
        <f>AP114-$D114</f>
        <v>0</v>
      </c>
      <c r="AS114" s="17">
        <f>'бюджет округа (района)'!X114+'бюджеты поселений'!X114</f>
        <v>0</v>
      </c>
      <c r="AT114" s="17">
        <f>'бюджет округа (района)'!X114</f>
        <v>0</v>
      </c>
      <c r="AU114" s="17">
        <f>AS114-$C114</f>
        <v>0</v>
      </c>
      <c r="AV114" s="17">
        <f>AT114-$D114</f>
        <v>0</v>
      </c>
      <c r="AW114" s="17">
        <f>'бюджет округа (района)'!Z114+'бюджеты поселений'!Z114</f>
        <v>0</v>
      </c>
      <c r="AX114" s="17">
        <f>'бюджет округа (района)'!Z114</f>
        <v>0</v>
      </c>
      <c r="AY114" s="17">
        <f>'бюджет округа (района)'!AA114+'бюджеты поселений'!AA114</f>
        <v>0</v>
      </c>
      <c r="AZ114" s="17">
        <f>'бюджет округа (района)'!AA114</f>
        <v>0</v>
      </c>
      <c r="BA114" s="131">
        <f t="shared" ref="BA114:BB114" si="603">IF(E114=0,1,AY114/E114-1)</f>
        <v>1</v>
      </c>
      <c r="BB114" s="131">
        <f t="shared" si="603"/>
        <v>1</v>
      </c>
      <c r="BC114" s="17">
        <f>'бюджет округа (района)'!AC114+'бюджеты поселений'!AC114</f>
        <v>0</v>
      </c>
      <c r="BD114" s="17">
        <f>'бюджет округа (района)'!AC114</f>
        <v>0</v>
      </c>
      <c r="BE114" s="17">
        <f>'бюджет округа (района)'!AD114+'бюджеты поселений'!AD114</f>
        <v>0</v>
      </c>
      <c r="BF114" s="17">
        <f>'бюджет округа (района)'!AD114</f>
        <v>0</v>
      </c>
      <c r="BG114" s="17">
        <f>BE114-$E114</f>
        <v>0</v>
      </c>
      <c r="BH114" s="17">
        <f>BF114-$F114</f>
        <v>0</v>
      </c>
      <c r="BI114" s="131">
        <f t="shared" ref="BI114:BJ114" si="604">IF(K114=0,1,BG114/K114-1)</f>
        <v>1</v>
      </c>
      <c r="BJ114" s="131">
        <f t="shared" si="604"/>
        <v>1</v>
      </c>
      <c r="BK114" s="17">
        <f>'бюджет округа (района)'!AG114+'бюджеты поселений'!AG114</f>
        <v>0</v>
      </c>
      <c r="BL114" s="17">
        <f>'бюджет округа (района)'!AG114</f>
        <v>0</v>
      </c>
      <c r="BM114" s="17">
        <f>BK114-$E114</f>
        <v>0</v>
      </c>
      <c r="BN114" s="17">
        <f>BL114-$F114</f>
        <v>0</v>
      </c>
      <c r="BO114" s="131">
        <f t="shared" ref="BO114:BP114" si="605">IF(O114=0,1,BM114/O114-1)</f>
        <v>1</v>
      </c>
      <c r="BP114" s="131">
        <f t="shared" si="605"/>
        <v>1</v>
      </c>
      <c r="BQ114" s="17">
        <f>'бюджет округа (района)'!AJ114+'бюджеты поселений'!AJ114</f>
        <v>0</v>
      </c>
      <c r="BR114" s="17">
        <f>'бюджет округа (района)'!AJ114</f>
        <v>0</v>
      </c>
      <c r="BS114" s="17">
        <f>BQ114-$E114</f>
        <v>0</v>
      </c>
      <c r="BT114" s="17">
        <f>BR114-$F114</f>
        <v>0</v>
      </c>
      <c r="BU114" s="131">
        <f t="shared" ref="BU114:BV114" si="606">IF(S114=0,1,BS114/S114-1)</f>
        <v>1</v>
      </c>
      <c r="BV114" s="131">
        <f t="shared" si="606"/>
        <v>1</v>
      </c>
      <c r="BW114" s="17">
        <f>'бюджет округа (района)'!AM114+'бюджеты поселений'!AM114</f>
        <v>0</v>
      </c>
      <c r="BX114" s="17">
        <f>'бюджет округа (района)'!AM114</f>
        <v>0</v>
      </c>
      <c r="BY114" s="17">
        <f>BW114-$E114</f>
        <v>0</v>
      </c>
      <c r="BZ114" s="17">
        <f>BX114-$F114</f>
        <v>0</v>
      </c>
      <c r="CA114" s="131">
        <f t="shared" ref="CA114:CB114" si="607">IF(W114=0,1,BY114/W114-1)</f>
        <v>1</v>
      </c>
      <c r="CB114" s="131">
        <f t="shared" si="607"/>
        <v>1</v>
      </c>
      <c r="CC114" s="17">
        <f>'бюджет округа (района)'!AP114+'бюджеты поселений'!AP114</f>
        <v>0</v>
      </c>
      <c r="CD114" s="17">
        <f>'бюджет округа (района)'!AP114</f>
        <v>0</v>
      </c>
      <c r="CE114" s="17">
        <f>CC114-$E114</f>
        <v>0</v>
      </c>
      <c r="CF114" s="17">
        <f>CD114-$F114</f>
        <v>0</v>
      </c>
      <c r="CG114" s="131">
        <f t="shared" ref="CG114:CH114" si="608">IF(AA114=0,1,CE114/AA114-1)</f>
        <v>1</v>
      </c>
      <c r="CH114" s="131">
        <f t="shared" si="608"/>
        <v>1</v>
      </c>
      <c r="CI114" s="17">
        <f>'бюджет округа (района)'!AS114+'бюджеты поселений'!AS114</f>
        <v>0</v>
      </c>
      <c r="CJ114" s="17">
        <f>'бюджет округа (района)'!AS114</f>
        <v>0</v>
      </c>
      <c r="CK114" s="17">
        <f>CI114-$E114</f>
        <v>0</v>
      </c>
      <c r="CL114" s="17">
        <f>CJ114-$F114</f>
        <v>0</v>
      </c>
      <c r="CM114" s="131">
        <f t="shared" ref="CM114:CN114" si="609">IF(AE114=0,1,CK114/AE114-1)</f>
        <v>1</v>
      </c>
      <c r="CN114" s="131">
        <f t="shared" si="609"/>
        <v>1</v>
      </c>
      <c r="CO114" s="17">
        <f>'бюджет округа (района)'!AV114+'бюджеты поселений'!AV114</f>
        <v>0</v>
      </c>
      <c r="CP114" s="17">
        <f>'бюджет округа (района)'!AV114</f>
        <v>0</v>
      </c>
      <c r="CQ114" s="17">
        <f>CO114-$E114</f>
        <v>0</v>
      </c>
      <c r="CR114" s="17">
        <f>CP114-$F114</f>
        <v>0</v>
      </c>
      <c r="CS114" s="131">
        <f t="shared" ref="CS114:CT114" si="610">IF(AI114=0,1,CQ114/AI114-1)</f>
        <v>1</v>
      </c>
      <c r="CT114" s="131">
        <f t="shared" si="610"/>
        <v>1</v>
      </c>
      <c r="CU114" s="17">
        <f>'бюджет округа (района)'!AY114+'бюджеты поселений'!AY114</f>
        <v>0</v>
      </c>
      <c r="CV114" s="17">
        <f>'бюджет округа (района)'!AY114</f>
        <v>0</v>
      </c>
      <c r="CW114" s="17">
        <f>CU114-$E114</f>
        <v>0</v>
      </c>
      <c r="CX114" s="17">
        <f>CV114-$F114</f>
        <v>0</v>
      </c>
      <c r="CY114" s="131">
        <f t="shared" ref="CY114:CZ114" si="611">IF(AM114=0,1,CW114/AM114-1)</f>
        <v>1</v>
      </c>
      <c r="CZ114" s="131">
        <f t="shared" si="611"/>
        <v>1</v>
      </c>
      <c r="DA114" s="17">
        <f>'бюджет округа (района)'!BB114+'бюджеты поселений'!BB114</f>
        <v>0</v>
      </c>
      <c r="DB114" s="17">
        <f>'бюджет округа (района)'!BB114</f>
        <v>0</v>
      </c>
      <c r="DC114" s="17">
        <f>DA114-$E114</f>
        <v>0</v>
      </c>
      <c r="DD114" s="17">
        <f>DB114-$F114</f>
        <v>0</v>
      </c>
      <c r="DE114" s="131">
        <f t="shared" ref="DE114:DF114" si="612">IF(AQ114=0,1,DC114/AQ114-1)</f>
        <v>1</v>
      </c>
      <c r="DF114" s="131">
        <f t="shared" si="612"/>
        <v>1</v>
      </c>
      <c r="DG114" s="17">
        <f>'бюджет округа (района)'!BE114+'бюджеты поселений'!BE114</f>
        <v>0</v>
      </c>
      <c r="DH114" s="17">
        <f>'бюджет округа (района)'!BE114</f>
        <v>0</v>
      </c>
      <c r="DI114" s="17">
        <f>DG114-$E114</f>
        <v>0</v>
      </c>
      <c r="DJ114" s="17">
        <f>DH114-$F114</f>
        <v>0</v>
      </c>
      <c r="DK114" s="131">
        <f t="shared" ref="DK114:DL114" si="613">IF(AU114=0,1,DI114/AU114-1)</f>
        <v>1</v>
      </c>
      <c r="DL114" s="131">
        <f t="shared" si="613"/>
        <v>1</v>
      </c>
      <c r="DM114" s="17">
        <f>'бюджет округа (района)'!BH114+'бюджеты поселений'!BH114</f>
        <v>0</v>
      </c>
      <c r="DN114" s="17">
        <f>'бюджет округа (района)'!BH114</f>
        <v>0</v>
      </c>
      <c r="DO114" s="17">
        <f>'бюджет округа (района)'!BI114+'бюджеты поселений'!BI114</f>
        <v>0</v>
      </c>
      <c r="DP114" s="17">
        <f>'бюджет округа (района)'!BI114</f>
        <v>0</v>
      </c>
      <c r="DQ114" s="17">
        <f>'бюджет округа (района)'!BJ114+'бюджеты поселений'!BJ114</f>
        <v>0</v>
      </c>
      <c r="DR114" s="17">
        <f>'бюджет округа (района)'!BJ114</f>
        <v>0</v>
      </c>
      <c r="DS114" s="131">
        <f>IF($AY$87=0,1,DQ114/$AY$87-1)</f>
        <v>1</v>
      </c>
      <c r="DT114" s="131">
        <f>IF($AZ$87=0,1,DR114/$AZ$87-1)</f>
        <v>1</v>
      </c>
      <c r="DU114" s="131">
        <f>IF($E114=0,1,DQ114/$E114-1)</f>
        <v>1</v>
      </c>
      <c r="DV114" s="131">
        <f>IF($F114=0,1,DR114/$F114-1)</f>
        <v>1</v>
      </c>
      <c r="DW114" s="170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110" t="s">
        <v>154</v>
      </c>
      <c r="B115" s="111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135"/>
      <c r="BB115" s="135"/>
      <c r="BC115" s="29"/>
      <c r="BD115" s="29"/>
      <c r="BE115" s="29"/>
      <c r="BF115" s="29"/>
      <c r="BG115" s="29"/>
      <c r="BH115" s="29"/>
      <c r="BI115" s="135"/>
      <c r="BJ115" s="135"/>
      <c r="BK115" s="29"/>
      <c r="BL115" s="29"/>
      <c r="BM115" s="29"/>
      <c r="BN115" s="29"/>
      <c r="BO115" s="135"/>
      <c r="BP115" s="135"/>
      <c r="BQ115" s="29"/>
      <c r="BR115" s="29"/>
      <c r="BS115" s="29"/>
      <c r="BT115" s="29"/>
      <c r="BU115" s="135"/>
      <c r="BV115" s="135"/>
      <c r="BW115" s="29"/>
      <c r="BX115" s="29"/>
      <c r="BY115" s="29"/>
      <c r="BZ115" s="29"/>
      <c r="CA115" s="135"/>
      <c r="CB115" s="135"/>
      <c r="CC115" s="29"/>
      <c r="CD115" s="29"/>
      <c r="CE115" s="29"/>
      <c r="CF115" s="29"/>
      <c r="CG115" s="135"/>
      <c r="CH115" s="135"/>
      <c r="CI115" s="29"/>
      <c r="CJ115" s="29"/>
      <c r="CK115" s="29"/>
      <c r="CL115" s="29"/>
      <c r="CM115" s="135"/>
      <c r="CN115" s="135"/>
      <c r="CO115" s="29"/>
      <c r="CP115" s="29"/>
      <c r="CQ115" s="29"/>
      <c r="CR115" s="29"/>
      <c r="CS115" s="135"/>
      <c r="CT115" s="135"/>
      <c r="CU115" s="29"/>
      <c r="CV115" s="29"/>
      <c r="CW115" s="29"/>
      <c r="CX115" s="29"/>
      <c r="CY115" s="135"/>
      <c r="CZ115" s="135"/>
      <c r="DA115" s="29"/>
      <c r="DB115" s="29"/>
      <c r="DC115" s="29"/>
      <c r="DD115" s="29"/>
      <c r="DE115" s="135"/>
      <c r="DF115" s="135"/>
      <c r="DG115" s="29"/>
      <c r="DH115" s="29"/>
      <c r="DI115" s="29"/>
      <c r="DJ115" s="29"/>
      <c r="DK115" s="135"/>
      <c r="DL115" s="135"/>
      <c r="DM115" s="29"/>
      <c r="DN115" s="29"/>
      <c r="DO115" s="29"/>
      <c r="DP115" s="29"/>
      <c r="DQ115" s="29"/>
      <c r="DR115" s="29"/>
      <c r="DS115" s="135"/>
      <c r="DT115" s="135"/>
      <c r="DU115" s="135"/>
      <c r="DV115" s="135"/>
      <c r="DW115" s="176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16.5">
      <c r="A116" s="110" t="s">
        <v>155</v>
      </c>
      <c r="B116" s="111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135"/>
      <c r="BB116" s="135"/>
      <c r="BC116" s="29"/>
      <c r="BD116" s="29"/>
      <c r="BE116" s="29"/>
      <c r="BF116" s="29"/>
      <c r="BG116" s="29"/>
      <c r="BH116" s="29"/>
      <c r="BI116" s="135"/>
      <c r="BJ116" s="135"/>
      <c r="BK116" s="29"/>
      <c r="BL116" s="29"/>
      <c r="BM116" s="29"/>
      <c r="BN116" s="29"/>
      <c r="BO116" s="135"/>
      <c r="BP116" s="135"/>
      <c r="BQ116" s="29"/>
      <c r="BR116" s="29"/>
      <c r="BS116" s="29"/>
      <c r="BT116" s="29"/>
      <c r="BU116" s="135"/>
      <c r="BV116" s="135"/>
      <c r="BW116" s="29"/>
      <c r="BX116" s="29"/>
      <c r="BY116" s="29"/>
      <c r="BZ116" s="29"/>
      <c r="CA116" s="135"/>
      <c r="CB116" s="135"/>
      <c r="CC116" s="29"/>
      <c r="CD116" s="29"/>
      <c r="CE116" s="29"/>
      <c r="CF116" s="29"/>
      <c r="CG116" s="135"/>
      <c r="CH116" s="135"/>
      <c r="CI116" s="29"/>
      <c r="CJ116" s="29"/>
      <c r="CK116" s="29"/>
      <c r="CL116" s="29"/>
      <c r="CM116" s="135"/>
      <c r="CN116" s="135"/>
      <c r="CO116" s="29"/>
      <c r="CP116" s="29"/>
      <c r="CQ116" s="29"/>
      <c r="CR116" s="29"/>
      <c r="CS116" s="135"/>
      <c r="CT116" s="135"/>
      <c r="CU116" s="29"/>
      <c r="CV116" s="29"/>
      <c r="CW116" s="29"/>
      <c r="CX116" s="29"/>
      <c r="CY116" s="135"/>
      <c r="CZ116" s="135"/>
      <c r="DA116" s="29"/>
      <c r="DB116" s="29"/>
      <c r="DC116" s="29"/>
      <c r="DD116" s="29"/>
      <c r="DE116" s="135"/>
      <c r="DF116" s="135"/>
      <c r="DG116" s="29"/>
      <c r="DH116" s="29"/>
      <c r="DI116" s="29"/>
      <c r="DJ116" s="29"/>
      <c r="DK116" s="135"/>
      <c r="DL116" s="135"/>
      <c r="DM116" s="29"/>
      <c r="DN116" s="29"/>
      <c r="DO116" s="29"/>
      <c r="DP116" s="29"/>
      <c r="DQ116" s="29"/>
      <c r="DR116" s="29"/>
      <c r="DS116" s="135"/>
      <c r="DT116" s="135"/>
      <c r="DU116" s="135"/>
      <c r="DV116" s="135"/>
      <c r="DW116" s="176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110" t="s">
        <v>156</v>
      </c>
      <c r="B117" s="111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135"/>
      <c r="BB117" s="135"/>
      <c r="BC117" s="29"/>
      <c r="BD117" s="29"/>
      <c r="BE117" s="29"/>
      <c r="BF117" s="29"/>
      <c r="BG117" s="29"/>
      <c r="BH117" s="29"/>
      <c r="BI117" s="135"/>
      <c r="BJ117" s="135"/>
      <c r="BK117" s="29"/>
      <c r="BL117" s="29"/>
      <c r="BM117" s="29"/>
      <c r="BN117" s="29"/>
      <c r="BO117" s="135"/>
      <c r="BP117" s="135"/>
      <c r="BQ117" s="29"/>
      <c r="BR117" s="29"/>
      <c r="BS117" s="29"/>
      <c r="BT117" s="29"/>
      <c r="BU117" s="135"/>
      <c r="BV117" s="135"/>
      <c r="BW117" s="29"/>
      <c r="BX117" s="29"/>
      <c r="BY117" s="29"/>
      <c r="BZ117" s="29"/>
      <c r="CA117" s="135"/>
      <c r="CB117" s="135"/>
      <c r="CC117" s="29"/>
      <c r="CD117" s="29"/>
      <c r="CE117" s="29"/>
      <c r="CF117" s="29"/>
      <c r="CG117" s="135"/>
      <c r="CH117" s="135"/>
      <c r="CI117" s="29"/>
      <c r="CJ117" s="29"/>
      <c r="CK117" s="29"/>
      <c r="CL117" s="29"/>
      <c r="CM117" s="135"/>
      <c r="CN117" s="135"/>
      <c r="CO117" s="29"/>
      <c r="CP117" s="29"/>
      <c r="CQ117" s="29"/>
      <c r="CR117" s="29"/>
      <c r="CS117" s="135"/>
      <c r="CT117" s="135"/>
      <c r="CU117" s="29"/>
      <c r="CV117" s="29"/>
      <c r="CW117" s="29"/>
      <c r="CX117" s="29"/>
      <c r="CY117" s="135"/>
      <c r="CZ117" s="135"/>
      <c r="DA117" s="29"/>
      <c r="DB117" s="29"/>
      <c r="DC117" s="29"/>
      <c r="DD117" s="29"/>
      <c r="DE117" s="135"/>
      <c r="DF117" s="135"/>
      <c r="DG117" s="29"/>
      <c r="DH117" s="29"/>
      <c r="DI117" s="29"/>
      <c r="DJ117" s="29"/>
      <c r="DK117" s="135"/>
      <c r="DL117" s="135"/>
      <c r="DM117" s="29"/>
      <c r="DN117" s="29"/>
      <c r="DO117" s="29"/>
      <c r="DP117" s="29"/>
      <c r="DQ117" s="29"/>
      <c r="DR117" s="29"/>
      <c r="DS117" s="135"/>
      <c r="DT117" s="135"/>
      <c r="DU117" s="135"/>
      <c r="DV117" s="135"/>
      <c r="DW117" s="176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15.75" customHeight="1">
      <c r="A118" s="221" t="s">
        <v>73</v>
      </c>
      <c r="B118" s="222"/>
      <c r="C118" s="133" t="e">
        <f t="shared" ref="C118:J118" si="614">C114/(C10-C12)</f>
        <v>#DIV/0!</v>
      </c>
      <c r="D118" s="133" t="e">
        <f t="shared" si="614"/>
        <v>#DIV/0!</v>
      </c>
      <c r="E118" s="133" t="e">
        <f t="shared" si="614"/>
        <v>#DIV/0!</v>
      </c>
      <c r="F118" s="133" t="e">
        <f t="shared" si="614"/>
        <v>#DIV/0!</v>
      </c>
      <c r="G118" s="133" t="e">
        <f t="shared" si="614"/>
        <v>#DIV/0!</v>
      </c>
      <c r="H118" s="133" t="e">
        <f t="shared" si="614"/>
        <v>#DIV/0!</v>
      </c>
      <c r="I118" s="133" t="e">
        <f t="shared" si="614"/>
        <v>#DIV/0!</v>
      </c>
      <c r="J118" s="133" t="e">
        <f t="shared" si="614"/>
        <v>#DIV/0!</v>
      </c>
      <c r="K118" s="133" t="s">
        <v>51</v>
      </c>
      <c r="L118" s="133" t="s">
        <v>51</v>
      </c>
      <c r="M118" s="133" t="e">
        <f>M114/(M10-M12)</f>
        <v>#DIV/0!</v>
      </c>
      <c r="N118" s="133" t="e">
        <f>N114/(N10-N12)</f>
        <v>#DIV/0!</v>
      </c>
      <c r="O118" s="133" t="s">
        <v>51</v>
      </c>
      <c r="P118" s="133" t="s">
        <v>51</v>
      </c>
      <c r="Q118" s="133" t="e">
        <f>Q114/(Q10-Q12)</f>
        <v>#DIV/0!</v>
      </c>
      <c r="R118" s="133" t="e">
        <f>R114/(R10-R12)</f>
        <v>#DIV/0!</v>
      </c>
      <c r="S118" s="133" t="s">
        <v>51</v>
      </c>
      <c r="T118" s="133" t="s">
        <v>51</v>
      </c>
      <c r="U118" s="133" t="e">
        <f>U114/(U10-U12)</f>
        <v>#DIV/0!</v>
      </c>
      <c r="V118" s="133" t="e">
        <f>V114/(V10-V12)</f>
        <v>#DIV/0!</v>
      </c>
      <c r="W118" s="133" t="s">
        <v>51</v>
      </c>
      <c r="X118" s="133" t="s">
        <v>51</v>
      </c>
      <c r="Y118" s="133" t="e">
        <f>Y114/(Y10-Y12)</f>
        <v>#DIV/0!</v>
      </c>
      <c r="Z118" s="133" t="e">
        <f>Z114/(Z10-Z12)</f>
        <v>#DIV/0!</v>
      </c>
      <c r="AA118" s="133" t="s">
        <v>51</v>
      </c>
      <c r="AB118" s="133" t="s">
        <v>51</v>
      </c>
      <c r="AC118" s="133" t="e">
        <f>AC114/(AC10-AC12)</f>
        <v>#DIV/0!</v>
      </c>
      <c r="AD118" s="133" t="e">
        <f>AD114/(AD10-AD12)</f>
        <v>#DIV/0!</v>
      </c>
      <c r="AE118" s="133" t="s">
        <v>51</v>
      </c>
      <c r="AF118" s="133" t="s">
        <v>51</v>
      </c>
      <c r="AG118" s="133" t="e">
        <f>AG114/(AG10-AG12)</f>
        <v>#DIV/0!</v>
      </c>
      <c r="AH118" s="133" t="e">
        <f>AH114/(AH10-AH12)</f>
        <v>#DIV/0!</v>
      </c>
      <c r="AI118" s="133" t="s">
        <v>51</v>
      </c>
      <c r="AJ118" s="133" t="s">
        <v>51</v>
      </c>
      <c r="AK118" s="133" t="e">
        <f>AK114/(AK10-AK12)</f>
        <v>#DIV/0!</v>
      </c>
      <c r="AL118" s="133" t="e">
        <f>AL114/(AL10-AL12)</f>
        <v>#DIV/0!</v>
      </c>
      <c r="AM118" s="133" t="s">
        <v>51</v>
      </c>
      <c r="AN118" s="133" t="s">
        <v>51</v>
      </c>
      <c r="AO118" s="133" t="e">
        <f>AO114/(AO10-AO12)</f>
        <v>#DIV/0!</v>
      </c>
      <c r="AP118" s="133" t="e">
        <f>AP114/(AP10-AP12)</f>
        <v>#DIV/0!</v>
      </c>
      <c r="AQ118" s="133" t="s">
        <v>51</v>
      </c>
      <c r="AR118" s="133" t="s">
        <v>51</v>
      </c>
      <c r="AS118" s="133" t="e">
        <f>AS114/(AS10-AS12)</f>
        <v>#DIV/0!</v>
      </c>
      <c r="AT118" s="133" t="e">
        <f>AT114/(AT10-AT12)</f>
        <v>#DIV/0!</v>
      </c>
      <c r="AU118" s="133" t="s">
        <v>51</v>
      </c>
      <c r="AV118" s="133" t="s">
        <v>51</v>
      </c>
      <c r="AW118" s="133" t="e">
        <f>AW114/(AW10-AW12)</f>
        <v>#DIV/0!</v>
      </c>
      <c r="AX118" s="133" t="e">
        <f>AX114/(AX10-AX12)</f>
        <v>#DIV/0!</v>
      </c>
      <c r="AY118" s="133" t="e">
        <f>AY114/(AY10-AY12)</f>
        <v>#DIV/0!</v>
      </c>
      <c r="AZ118" s="133" t="e">
        <f>AZ114/(AZ10-AZ12)</f>
        <v>#DIV/0!</v>
      </c>
      <c r="BA118" s="133" t="s">
        <v>51</v>
      </c>
      <c r="BB118" s="133" t="s">
        <v>51</v>
      </c>
      <c r="BC118" s="133" t="e">
        <f>BC114/(BC10-BC12)</f>
        <v>#REF!</v>
      </c>
      <c r="BD118" s="133" t="e">
        <f>BD114/(BD10-BD12)</f>
        <v>#REF!</v>
      </c>
      <c r="BE118" s="133" t="e">
        <f>BE114/(BE10-BE12)</f>
        <v>#REF!</v>
      </c>
      <c r="BF118" s="133" t="e">
        <f>BF114/(BF10-BF12)</f>
        <v>#REF!</v>
      </c>
      <c r="BG118" s="133" t="e">
        <f>BE118</f>
        <v>#REF!</v>
      </c>
      <c r="BH118" s="133" t="e">
        <f>BF118</f>
        <v>#REF!</v>
      </c>
      <c r="BI118" s="133" t="s">
        <v>51</v>
      </c>
      <c r="BJ118" s="133" t="s">
        <v>51</v>
      </c>
      <c r="BK118" s="133" t="e">
        <f>BK114/(BK10-BK12)</f>
        <v>#REF!</v>
      </c>
      <c r="BL118" s="133" t="e">
        <f>BL114/(BL10-BL12)</f>
        <v>#REF!</v>
      </c>
      <c r="BM118" s="133" t="e">
        <f>BK118</f>
        <v>#REF!</v>
      </c>
      <c r="BN118" s="133" t="e">
        <f>BL118</f>
        <v>#REF!</v>
      </c>
      <c r="BO118" s="133" t="s">
        <v>51</v>
      </c>
      <c r="BP118" s="133" t="s">
        <v>51</v>
      </c>
      <c r="BQ118" s="133" t="e">
        <f>BQ114/(BQ10-BQ12)</f>
        <v>#REF!</v>
      </c>
      <c r="BR118" s="133" t="e">
        <f>BR114/(BR10-BR12)</f>
        <v>#REF!</v>
      </c>
      <c r="BS118" s="133" t="e">
        <f>BQ118</f>
        <v>#REF!</v>
      </c>
      <c r="BT118" s="133" t="e">
        <f>BR118</f>
        <v>#REF!</v>
      </c>
      <c r="BU118" s="133" t="s">
        <v>51</v>
      </c>
      <c r="BV118" s="133" t="s">
        <v>51</v>
      </c>
      <c r="BW118" s="133" t="e">
        <f>BW114/(BW10-BW12)</f>
        <v>#REF!</v>
      </c>
      <c r="BX118" s="133" t="e">
        <f>BX114/(BX10-BX12)</f>
        <v>#REF!</v>
      </c>
      <c r="BY118" s="133" t="e">
        <f>BW118</f>
        <v>#REF!</v>
      </c>
      <c r="BZ118" s="133" t="e">
        <f>BX118</f>
        <v>#REF!</v>
      </c>
      <c r="CA118" s="133" t="s">
        <v>51</v>
      </c>
      <c r="CB118" s="133" t="s">
        <v>51</v>
      </c>
      <c r="CC118" s="133" t="e">
        <f>CC114/(CC10-CC12)</f>
        <v>#REF!</v>
      </c>
      <c r="CD118" s="133" t="e">
        <f>CD114/(CD10-CD12)</f>
        <v>#REF!</v>
      </c>
      <c r="CE118" s="133" t="e">
        <f>CC118</f>
        <v>#REF!</v>
      </c>
      <c r="CF118" s="133" t="e">
        <f>CD118</f>
        <v>#REF!</v>
      </c>
      <c r="CG118" s="133" t="s">
        <v>51</v>
      </c>
      <c r="CH118" s="133" t="s">
        <v>51</v>
      </c>
      <c r="CI118" s="133" t="e">
        <f>CI114/(CI10-CI12)</f>
        <v>#REF!</v>
      </c>
      <c r="CJ118" s="133" t="e">
        <f>CJ114/(CJ10-CJ12)</f>
        <v>#REF!</v>
      </c>
      <c r="CK118" s="133" t="e">
        <f>CI118</f>
        <v>#REF!</v>
      </c>
      <c r="CL118" s="133" t="e">
        <f>CJ118</f>
        <v>#REF!</v>
      </c>
      <c r="CM118" s="133" t="s">
        <v>51</v>
      </c>
      <c r="CN118" s="133" t="s">
        <v>51</v>
      </c>
      <c r="CO118" s="133" t="e">
        <f>CO114/(CO10-CO12)</f>
        <v>#REF!</v>
      </c>
      <c r="CP118" s="133" t="e">
        <f>CP114/(CP10-CP12)</f>
        <v>#REF!</v>
      </c>
      <c r="CQ118" s="133" t="e">
        <f>CO118</f>
        <v>#REF!</v>
      </c>
      <c r="CR118" s="133" t="e">
        <f>CP118</f>
        <v>#REF!</v>
      </c>
      <c r="CS118" s="133" t="s">
        <v>51</v>
      </c>
      <c r="CT118" s="133" t="s">
        <v>51</v>
      </c>
      <c r="CU118" s="133" t="e">
        <f>CU114/(CU10-CU12)</f>
        <v>#REF!</v>
      </c>
      <c r="CV118" s="133" t="e">
        <f>CV114/(CV10-CV12)</f>
        <v>#REF!</v>
      </c>
      <c r="CW118" s="133" t="e">
        <f>CU118</f>
        <v>#REF!</v>
      </c>
      <c r="CX118" s="133" t="e">
        <f>CV118</f>
        <v>#REF!</v>
      </c>
      <c r="CY118" s="133" t="s">
        <v>51</v>
      </c>
      <c r="CZ118" s="133" t="s">
        <v>51</v>
      </c>
      <c r="DA118" s="133" t="e">
        <f>DA114/(DA10-DA12)</f>
        <v>#REF!</v>
      </c>
      <c r="DB118" s="133" t="e">
        <f>DB114/(DB10-DB12)</f>
        <v>#REF!</v>
      </c>
      <c r="DC118" s="133" t="e">
        <f>DA118</f>
        <v>#REF!</v>
      </c>
      <c r="DD118" s="133" t="e">
        <f>DB118</f>
        <v>#REF!</v>
      </c>
      <c r="DE118" s="133" t="s">
        <v>51</v>
      </c>
      <c r="DF118" s="133" t="s">
        <v>51</v>
      </c>
      <c r="DG118" s="133" t="e">
        <f>DG114/(DG10-DG12)</f>
        <v>#REF!</v>
      </c>
      <c r="DH118" s="133" t="e">
        <f>DH114/(DH10-DH12)</f>
        <v>#REF!</v>
      </c>
      <c r="DI118" s="133" t="e">
        <f>DG118</f>
        <v>#REF!</v>
      </c>
      <c r="DJ118" s="133" t="e">
        <f>DH118</f>
        <v>#REF!</v>
      </c>
      <c r="DK118" s="133" t="s">
        <v>51</v>
      </c>
      <c r="DL118" s="133" t="s">
        <v>51</v>
      </c>
      <c r="DM118" s="133" t="e">
        <f t="shared" ref="DM118:DR118" si="615">DM114/(DM10-DM12)</f>
        <v>#REF!</v>
      </c>
      <c r="DN118" s="133" t="e">
        <f t="shared" si="615"/>
        <v>#REF!</v>
      </c>
      <c r="DO118" s="133" t="e">
        <f t="shared" si="615"/>
        <v>#REF!</v>
      </c>
      <c r="DP118" s="133" t="e">
        <f t="shared" si="615"/>
        <v>#REF!</v>
      </c>
      <c r="DQ118" s="133" t="e">
        <f t="shared" si="615"/>
        <v>#REF!</v>
      </c>
      <c r="DR118" s="133" t="e">
        <f t="shared" si="615"/>
        <v>#REF!</v>
      </c>
      <c r="DS118" s="133" t="s">
        <v>51</v>
      </c>
      <c r="DT118" s="133" t="s">
        <v>51</v>
      </c>
      <c r="DU118" s="133" t="e">
        <f t="shared" ref="DU118:DU130" si="616">IF($E118=0,1,DQ118/$E118-1)</f>
        <v>#DIV/0!</v>
      </c>
      <c r="DV118" s="133" t="e">
        <f t="shared" ref="DV118:DV130" si="617">IF($F118=0,1,DR118/$F118-1)</f>
        <v>#DIV/0!</v>
      </c>
      <c r="DW118" s="121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85" customFormat="1" ht="36.75" customHeight="1">
      <c r="A119" s="217" t="s">
        <v>74</v>
      </c>
      <c r="B119" s="218"/>
      <c r="C119" s="130">
        <f>'бюджет округа (района)'!C120+'бюджеты поселений'!C120</f>
        <v>0</v>
      </c>
      <c r="D119" s="130">
        <f>'бюджет округа (района)'!C120</f>
        <v>0</v>
      </c>
      <c r="E119" s="130">
        <f>AW119</f>
        <v>0</v>
      </c>
      <c r="F119" s="130">
        <f>AX119</f>
        <v>0</v>
      </c>
      <c r="G119" s="130">
        <f>'бюджет округа (района)'!E120+'бюджеты поселений'!E120</f>
        <v>0</v>
      </c>
      <c r="H119" s="130">
        <f>'бюджет округа (района)'!E120</f>
        <v>0</v>
      </c>
      <c r="I119" s="130">
        <f>'бюджет округа (района)'!F120+'бюджеты поселений'!F120</f>
        <v>0</v>
      </c>
      <c r="J119" s="130">
        <f>'бюджет округа (района)'!F120</f>
        <v>0</v>
      </c>
      <c r="K119" s="130">
        <f t="shared" ref="K119:K130" si="618">I119-$C119</f>
        <v>0</v>
      </c>
      <c r="L119" s="130">
        <f t="shared" ref="L119:L130" si="619">J119-$D119</f>
        <v>0</v>
      </c>
      <c r="M119" s="130">
        <f>'бюджет округа (района)'!H120+'бюджеты поселений'!H120</f>
        <v>0</v>
      </c>
      <c r="N119" s="130">
        <f>'бюджет округа (района)'!H120</f>
        <v>0</v>
      </c>
      <c r="O119" s="130">
        <f t="shared" ref="O119:O130" si="620">M119-$C119</f>
        <v>0</v>
      </c>
      <c r="P119" s="130">
        <f t="shared" ref="P119:P130" si="621">N119-$D119</f>
        <v>0</v>
      </c>
      <c r="Q119" s="130">
        <f>'бюджет округа (района)'!J120+'бюджеты поселений'!J120</f>
        <v>0</v>
      </c>
      <c r="R119" s="130">
        <f>'бюджет округа (района)'!J120</f>
        <v>0</v>
      </c>
      <c r="S119" s="130">
        <f t="shared" ref="S119:S130" si="622">Q119-$C119</f>
        <v>0</v>
      </c>
      <c r="T119" s="130">
        <f t="shared" ref="T119:T130" si="623">R119-$D119</f>
        <v>0</v>
      </c>
      <c r="U119" s="130">
        <f>'бюджет округа (района)'!L120+'бюджеты поселений'!L120</f>
        <v>0</v>
      </c>
      <c r="V119" s="130">
        <f>'бюджет округа (района)'!L120</f>
        <v>0</v>
      </c>
      <c r="W119" s="130">
        <f t="shared" ref="W119:W130" si="624">U119-$C119</f>
        <v>0</v>
      </c>
      <c r="X119" s="130">
        <f t="shared" ref="X119:X130" si="625">V119-$D119</f>
        <v>0</v>
      </c>
      <c r="Y119" s="130">
        <f>'бюджет округа (района)'!N120+'бюджеты поселений'!N120</f>
        <v>0</v>
      </c>
      <c r="Z119" s="130">
        <f>'бюджет округа (района)'!N120</f>
        <v>0</v>
      </c>
      <c r="AA119" s="130">
        <f t="shared" ref="AA119:AA130" si="626">Y119-$C119</f>
        <v>0</v>
      </c>
      <c r="AB119" s="130">
        <f t="shared" ref="AB119:AB130" si="627">Z119-$D119</f>
        <v>0</v>
      </c>
      <c r="AC119" s="130">
        <f>'бюджет округа (района)'!P120+'бюджеты поселений'!P120</f>
        <v>0</v>
      </c>
      <c r="AD119" s="130">
        <f>'бюджет округа (района)'!P120</f>
        <v>0</v>
      </c>
      <c r="AE119" s="130">
        <f t="shared" ref="AE119:AE130" si="628">AC119-$C119</f>
        <v>0</v>
      </c>
      <c r="AF119" s="130">
        <f t="shared" ref="AF119:AF130" si="629">AD119-$D119</f>
        <v>0</v>
      </c>
      <c r="AG119" s="130">
        <f>'бюджет округа (района)'!R120+'бюджеты поселений'!R120</f>
        <v>0</v>
      </c>
      <c r="AH119" s="130">
        <f>'бюджет округа (района)'!R120</f>
        <v>0</v>
      </c>
      <c r="AI119" s="130">
        <f t="shared" ref="AI119:AI130" si="630">AG119-$C119</f>
        <v>0</v>
      </c>
      <c r="AJ119" s="130">
        <f t="shared" ref="AJ119:AJ130" si="631">AH119-$D119</f>
        <v>0</v>
      </c>
      <c r="AK119" s="130">
        <f>'бюджет округа (района)'!T120+'бюджеты поселений'!T120</f>
        <v>0</v>
      </c>
      <c r="AL119" s="130">
        <f>'бюджет округа (района)'!T120</f>
        <v>0</v>
      </c>
      <c r="AM119" s="130">
        <f t="shared" ref="AM119:AM130" si="632">AK119-$C119</f>
        <v>0</v>
      </c>
      <c r="AN119" s="130">
        <f t="shared" ref="AN119:AN130" si="633">AL119-$D119</f>
        <v>0</v>
      </c>
      <c r="AO119" s="130">
        <f>'бюджет округа (района)'!V120+'бюджеты поселений'!V120</f>
        <v>0</v>
      </c>
      <c r="AP119" s="130">
        <f>'бюджет округа (района)'!V120</f>
        <v>0</v>
      </c>
      <c r="AQ119" s="130">
        <f t="shared" ref="AQ119:AQ130" si="634">AO119-$C119</f>
        <v>0</v>
      </c>
      <c r="AR119" s="130">
        <f t="shared" ref="AR119:AR130" si="635">AP119-$D119</f>
        <v>0</v>
      </c>
      <c r="AS119" s="130">
        <f>'бюджет округа (района)'!X120+'бюджеты поселений'!X120</f>
        <v>0</v>
      </c>
      <c r="AT119" s="130">
        <f>'бюджет округа (района)'!X120</f>
        <v>0</v>
      </c>
      <c r="AU119" s="130">
        <f t="shared" ref="AU119:AU130" si="636">AS119-$C119</f>
        <v>0</v>
      </c>
      <c r="AV119" s="130">
        <f t="shared" ref="AV119:AV130" si="637">AT119-$D119</f>
        <v>0</v>
      </c>
      <c r="AW119" s="130">
        <f>'бюджет округа (района)'!Z120+'бюджеты поселений'!Z120</f>
        <v>0</v>
      </c>
      <c r="AX119" s="130">
        <f>'бюджет округа (района)'!Z120</f>
        <v>0</v>
      </c>
      <c r="AY119" s="130" t="e">
        <f>'бюджет округа (района)'!AA120+'бюджеты поселений'!AA120</f>
        <v>#VALUE!</v>
      </c>
      <c r="AZ119" s="130" t="str">
        <f>'бюджет округа (района)'!AA120</f>
        <v>x</v>
      </c>
      <c r="BA119" s="131" t="s">
        <v>51</v>
      </c>
      <c r="BB119" s="131" t="s">
        <v>51</v>
      </c>
      <c r="BC119" s="130">
        <f>'бюджет округа (района)'!AC120+'бюджеты поселений'!AC120</f>
        <v>0</v>
      </c>
      <c r="BD119" s="130">
        <f>'бюджет округа (района)'!AC120</f>
        <v>0</v>
      </c>
      <c r="BE119" s="130">
        <f>'бюджет округа (района)'!AD120+'бюджеты поселений'!AD120</f>
        <v>0</v>
      </c>
      <c r="BF119" s="130">
        <f>'бюджет округа (района)'!AD120</f>
        <v>0</v>
      </c>
      <c r="BG119" s="130">
        <f t="shared" ref="BG119:BG130" si="638">BE119-$E119</f>
        <v>0</v>
      </c>
      <c r="BH119" s="130">
        <f t="shared" ref="BH119:BH130" si="639">BF119-$F119</f>
        <v>0</v>
      </c>
      <c r="BI119" s="131" t="s">
        <v>51</v>
      </c>
      <c r="BJ119" s="131" t="s">
        <v>51</v>
      </c>
      <c r="BK119" s="130">
        <f>'бюджет округа (района)'!AG120+'бюджеты поселений'!AG120</f>
        <v>0</v>
      </c>
      <c r="BL119" s="130">
        <f>'бюджет округа (района)'!AG120</f>
        <v>0</v>
      </c>
      <c r="BM119" s="130">
        <f t="shared" ref="BM119:BM130" si="640">BK119-$E119</f>
        <v>0</v>
      </c>
      <c r="BN119" s="130">
        <f t="shared" ref="BN119" si="641">BL119-$F119</f>
        <v>0</v>
      </c>
      <c r="BO119" s="131" t="s">
        <v>51</v>
      </c>
      <c r="BP119" s="131" t="s">
        <v>51</v>
      </c>
      <c r="BQ119" s="130">
        <f>'бюджет округа (района)'!AJ120+'бюджеты поселений'!AJ120</f>
        <v>0</v>
      </c>
      <c r="BR119" s="130">
        <f>'бюджет округа (района)'!AJ120</f>
        <v>0</v>
      </c>
      <c r="BS119" s="130">
        <f t="shared" ref="BS119:BS130" si="642">BQ119-$E119</f>
        <v>0</v>
      </c>
      <c r="BT119" s="130">
        <f t="shared" ref="BT119" si="643">BR119-$F119</f>
        <v>0</v>
      </c>
      <c r="BU119" s="131" t="s">
        <v>51</v>
      </c>
      <c r="BV119" s="131" t="s">
        <v>51</v>
      </c>
      <c r="BW119" s="130">
        <f>'бюджет округа (района)'!AM120+'бюджеты поселений'!AM120</f>
        <v>0</v>
      </c>
      <c r="BX119" s="130">
        <f>'бюджет округа (района)'!AM120</f>
        <v>0</v>
      </c>
      <c r="BY119" s="130">
        <f t="shared" ref="BY119:BY130" si="644">BW119-$E119</f>
        <v>0</v>
      </c>
      <c r="BZ119" s="130">
        <f t="shared" ref="BZ119" si="645">BX119-$F119</f>
        <v>0</v>
      </c>
      <c r="CA119" s="131" t="s">
        <v>51</v>
      </c>
      <c r="CB119" s="131" t="s">
        <v>51</v>
      </c>
      <c r="CC119" s="130">
        <f>'бюджет округа (района)'!AP120+'бюджеты поселений'!AP120</f>
        <v>0</v>
      </c>
      <c r="CD119" s="130">
        <f>'бюджет округа (района)'!AP120</f>
        <v>0</v>
      </c>
      <c r="CE119" s="130">
        <f t="shared" ref="CE119:CE130" si="646">CC119-$E119</f>
        <v>0</v>
      </c>
      <c r="CF119" s="130">
        <f t="shared" ref="CF119" si="647">CD119-$F119</f>
        <v>0</v>
      </c>
      <c r="CG119" s="131" t="s">
        <v>51</v>
      </c>
      <c r="CH119" s="131" t="s">
        <v>51</v>
      </c>
      <c r="CI119" s="130">
        <f>'бюджет округа (района)'!AS120+'бюджеты поселений'!AS120</f>
        <v>0</v>
      </c>
      <c r="CJ119" s="130">
        <f>'бюджет округа (района)'!AS120</f>
        <v>0</v>
      </c>
      <c r="CK119" s="130">
        <f t="shared" ref="CK119:CK130" si="648">CI119-$E119</f>
        <v>0</v>
      </c>
      <c r="CL119" s="130">
        <f t="shared" ref="CL119" si="649">CJ119-$F119</f>
        <v>0</v>
      </c>
      <c r="CM119" s="131" t="s">
        <v>51</v>
      </c>
      <c r="CN119" s="131" t="s">
        <v>51</v>
      </c>
      <c r="CO119" s="130">
        <f>'бюджет округа (района)'!AV120+'бюджеты поселений'!AV120</f>
        <v>0</v>
      </c>
      <c r="CP119" s="130">
        <f>'бюджет округа (района)'!AV120</f>
        <v>0</v>
      </c>
      <c r="CQ119" s="130">
        <f t="shared" ref="CQ119:CQ130" si="650">CO119-$E119</f>
        <v>0</v>
      </c>
      <c r="CR119" s="130">
        <f t="shared" ref="CR119" si="651">CP119-$F119</f>
        <v>0</v>
      </c>
      <c r="CS119" s="131" t="s">
        <v>51</v>
      </c>
      <c r="CT119" s="131" t="s">
        <v>51</v>
      </c>
      <c r="CU119" s="130">
        <f>'бюджет округа (района)'!AY120+'бюджеты поселений'!AY120</f>
        <v>0</v>
      </c>
      <c r="CV119" s="130">
        <f>'бюджет округа (района)'!AY120</f>
        <v>0</v>
      </c>
      <c r="CW119" s="130">
        <f t="shared" ref="CW119:CW130" si="652">CU119-$E119</f>
        <v>0</v>
      </c>
      <c r="CX119" s="130">
        <f t="shared" ref="CX119" si="653">CV119-$F119</f>
        <v>0</v>
      </c>
      <c r="CY119" s="131" t="s">
        <v>51</v>
      </c>
      <c r="CZ119" s="131" t="s">
        <v>51</v>
      </c>
      <c r="DA119" s="130">
        <f>'бюджет округа (района)'!BB120+'бюджеты поселений'!BB120</f>
        <v>0</v>
      </c>
      <c r="DB119" s="130">
        <f>'бюджет округа (района)'!BB120</f>
        <v>0</v>
      </c>
      <c r="DC119" s="130">
        <f t="shared" ref="DC119:DC130" si="654">DA119-$E119</f>
        <v>0</v>
      </c>
      <c r="DD119" s="130">
        <f t="shared" ref="DD119" si="655">DB119-$F119</f>
        <v>0</v>
      </c>
      <c r="DE119" s="131" t="s">
        <v>51</v>
      </c>
      <c r="DF119" s="131" t="s">
        <v>51</v>
      </c>
      <c r="DG119" s="130">
        <f>'бюджет округа (района)'!BE120+'бюджеты поселений'!BE120</f>
        <v>0</v>
      </c>
      <c r="DH119" s="130">
        <f>'бюджет округа (района)'!BE120</f>
        <v>0</v>
      </c>
      <c r="DI119" s="130">
        <f t="shared" ref="DI119:DI130" si="656">DG119-$E119</f>
        <v>0</v>
      </c>
      <c r="DJ119" s="130">
        <f t="shared" ref="DJ119" si="657">DH119-$F119</f>
        <v>0</v>
      </c>
      <c r="DK119" s="131" t="s">
        <v>51</v>
      </c>
      <c r="DL119" s="131" t="s">
        <v>51</v>
      </c>
      <c r="DM119" s="130">
        <f>'бюджет округа (района)'!BH120+'бюджеты поселений'!BH120</f>
        <v>0</v>
      </c>
      <c r="DN119" s="130">
        <f>'бюджет округа (района)'!BH120</f>
        <v>0</v>
      </c>
      <c r="DO119" s="130">
        <f>'бюджет округа (района)'!BI120+'бюджеты поселений'!BI120</f>
        <v>0</v>
      </c>
      <c r="DP119" s="130">
        <f>'бюджет округа (района)'!BI120</f>
        <v>0</v>
      </c>
      <c r="DQ119" s="130">
        <f>'бюджет округа (района)'!BJ120+'бюджеты поселений'!BJ120</f>
        <v>0</v>
      </c>
      <c r="DR119" s="130">
        <f>'бюджет округа (района)'!BJ120</f>
        <v>0</v>
      </c>
      <c r="DS119" s="131" t="s">
        <v>51</v>
      </c>
      <c r="DT119" s="131" t="s">
        <v>51</v>
      </c>
      <c r="DU119" s="131">
        <f t="shared" si="616"/>
        <v>1</v>
      </c>
      <c r="DV119" s="131">
        <f t="shared" si="617"/>
        <v>1</v>
      </c>
      <c r="DW119" s="168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</row>
    <row r="120" spans="1:268" s="66" customFormat="1" ht="16.5">
      <c r="A120" s="215" t="s">
        <v>75</v>
      </c>
      <c r="B120" s="216"/>
      <c r="C120" s="161">
        <f>'бюджет округа (района)'!C121+'бюджеты поселений'!C121</f>
        <v>0</v>
      </c>
      <c r="D120" s="161">
        <f>'бюджет округа (района)'!C121</f>
        <v>0</v>
      </c>
      <c r="E120" s="161">
        <f t="shared" ref="E120:F130" si="658">AW120</f>
        <v>0</v>
      </c>
      <c r="F120" s="161">
        <f t="shared" si="658"/>
        <v>0</v>
      </c>
      <c r="G120" s="161">
        <f>'бюджет округа (района)'!E121+'бюджеты поселений'!E121</f>
        <v>0</v>
      </c>
      <c r="H120" s="161">
        <f>'бюджет округа (района)'!E121</f>
        <v>0</v>
      </c>
      <c r="I120" s="161">
        <f>'бюджет округа (района)'!F121+'бюджеты поселений'!F121</f>
        <v>0</v>
      </c>
      <c r="J120" s="161">
        <f>'бюджет округа (района)'!F121</f>
        <v>0</v>
      </c>
      <c r="K120" s="161">
        <f t="shared" si="618"/>
        <v>0</v>
      </c>
      <c r="L120" s="161">
        <f t="shared" si="619"/>
        <v>0</v>
      </c>
      <c r="M120" s="161">
        <f>'бюджет округа (района)'!H121+'бюджеты поселений'!H121</f>
        <v>0</v>
      </c>
      <c r="N120" s="161">
        <f>'бюджет округа (района)'!H121</f>
        <v>0</v>
      </c>
      <c r="O120" s="161">
        <f t="shared" si="620"/>
        <v>0</v>
      </c>
      <c r="P120" s="161">
        <f t="shared" si="621"/>
        <v>0</v>
      </c>
      <c r="Q120" s="161">
        <f>'бюджет округа (района)'!J121+'бюджеты поселений'!J121</f>
        <v>0</v>
      </c>
      <c r="R120" s="161">
        <f>'бюджет округа (района)'!J121</f>
        <v>0</v>
      </c>
      <c r="S120" s="161">
        <f t="shared" si="622"/>
        <v>0</v>
      </c>
      <c r="T120" s="161">
        <f t="shared" si="623"/>
        <v>0</v>
      </c>
      <c r="U120" s="161">
        <f>'бюджет округа (района)'!L121+'бюджеты поселений'!L121</f>
        <v>0</v>
      </c>
      <c r="V120" s="161">
        <f>'бюджет округа (района)'!L121</f>
        <v>0</v>
      </c>
      <c r="W120" s="161">
        <f t="shared" si="624"/>
        <v>0</v>
      </c>
      <c r="X120" s="161">
        <f t="shared" si="625"/>
        <v>0</v>
      </c>
      <c r="Y120" s="161">
        <f>'бюджет округа (района)'!N121+'бюджеты поселений'!N121</f>
        <v>0</v>
      </c>
      <c r="Z120" s="161">
        <f>'бюджет округа (района)'!N121</f>
        <v>0</v>
      </c>
      <c r="AA120" s="161">
        <f t="shared" si="626"/>
        <v>0</v>
      </c>
      <c r="AB120" s="161">
        <f t="shared" si="627"/>
        <v>0</v>
      </c>
      <c r="AC120" s="161">
        <f>'бюджет округа (района)'!P121+'бюджеты поселений'!P121</f>
        <v>0</v>
      </c>
      <c r="AD120" s="161">
        <f>'бюджет округа (района)'!P121</f>
        <v>0</v>
      </c>
      <c r="AE120" s="161">
        <f t="shared" si="628"/>
        <v>0</v>
      </c>
      <c r="AF120" s="161">
        <f t="shared" si="629"/>
        <v>0</v>
      </c>
      <c r="AG120" s="161">
        <f>'бюджет округа (района)'!R121+'бюджеты поселений'!R121</f>
        <v>0</v>
      </c>
      <c r="AH120" s="161">
        <f>'бюджет округа (района)'!R121</f>
        <v>0</v>
      </c>
      <c r="AI120" s="161">
        <f t="shared" si="630"/>
        <v>0</v>
      </c>
      <c r="AJ120" s="161">
        <f t="shared" si="631"/>
        <v>0</v>
      </c>
      <c r="AK120" s="161">
        <f>'бюджет округа (района)'!T121+'бюджеты поселений'!T121</f>
        <v>0</v>
      </c>
      <c r="AL120" s="161">
        <f>'бюджет округа (района)'!T121</f>
        <v>0</v>
      </c>
      <c r="AM120" s="161">
        <f t="shared" si="632"/>
        <v>0</v>
      </c>
      <c r="AN120" s="161">
        <f t="shared" si="633"/>
        <v>0</v>
      </c>
      <c r="AO120" s="161">
        <f>'бюджет округа (района)'!V121+'бюджеты поселений'!V121</f>
        <v>0</v>
      </c>
      <c r="AP120" s="161">
        <f>'бюджет округа (района)'!V121</f>
        <v>0</v>
      </c>
      <c r="AQ120" s="161">
        <f t="shared" si="634"/>
        <v>0</v>
      </c>
      <c r="AR120" s="161">
        <f t="shared" si="635"/>
        <v>0</v>
      </c>
      <c r="AS120" s="161">
        <f>'бюджет округа (района)'!X121+'бюджеты поселений'!X121</f>
        <v>0</v>
      </c>
      <c r="AT120" s="161">
        <f>'бюджет округа (района)'!X121</f>
        <v>0</v>
      </c>
      <c r="AU120" s="161">
        <f t="shared" si="636"/>
        <v>0</v>
      </c>
      <c r="AV120" s="161">
        <f t="shared" si="637"/>
        <v>0</v>
      </c>
      <c r="AW120" s="161">
        <f>'бюджет округа (района)'!Z121+'бюджеты поселений'!Z121</f>
        <v>0</v>
      </c>
      <c r="AX120" s="161">
        <f>'бюджет округа (района)'!Z121</f>
        <v>0</v>
      </c>
      <c r="AY120" s="161" t="e">
        <f>'бюджет округа (района)'!AA121+'бюджеты поселений'!AA121</f>
        <v>#VALUE!</v>
      </c>
      <c r="AZ120" s="161" t="str">
        <f>'бюджет округа (района)'!AA121</f>
        <v>x</v>
      </c>
      <c r="BA120" s="162" t="s">
        <v>51</v>
      </c>
      <c r="BB120" s="162" t="s">
        <v>51</v>
      </c>
      <c r="BC120" s="161">
        <f>'бюджет округа (района)'!AC121+'бюджеты поселений'!AC121</f>
        <v>0</v>
      </c>
      <c r="BD120" s="161">
        <f>'бюджет округа (района)'!AC121</f>
        <v>0</v>
      </c>
      <c r="BE120" s="161">
        <f>'бюджет округа (района)'!AD121+'бюджеты поселений'!AD121</f>
        <v>0</v>
      </c>
      <c r="BF120" s="161">
        <f>'бюджет округа (района)'!AD121</f>
        <v>0</v>
      </c>
      <c r="BG120" s="161">
        <f t="shared" si="638"/>
        <v>0</v>
      </c>
      <c r="BH120" s="161">
        <f>BF120-$F120</f>
        <v>0</v>
      </c>
      <c r="BI120" s="162" t="s">
        <v>51</v>
      </c>
      <c r="BJ120" s="162" t="s">
        <v>51</v>
      </c>
      <c r="BK120" s="161">
        <f>'бюджет округа (района)'!AG121+'бюджеты поселений'!AG121</f>
        <v>0</v>
      </c>
      <c r="BL120" s="161">
        <f>'бюджет округа (района)'!AG121</f>
        <v>0</v>
      </c>
      <c r="BM120" s="161">
        <f t="shared" si="640"/>
        <v>0</v>
      </c>
      <c r="BN120" s="161">
        <f>BL120-$F120</f>
        <v>0</v>
      </c>
      <c r="BO120" s="162" t="s">
        <v>51</v>
      </c>
      <c r="BP120" s="162" t="s">
        <v>51</v>
      </c>
      <c r="BQ120" s="161">
        <f>'бюджет округа (района)'!AJ121+'бюджеты поселений'!AJ121</f>
        <v>0</v>
      </c>
      <c r="BR120" s="161">
        <f>'бюджет округа (района)'!AJ121</f>
        <v>0</v>
      </c>
      <c r="BS120" s="161">
        <f t="shared" si="642"/>
        <v>0</v>
      </c>
      <c r="BT120" s="161">
        <f>BR120-$F120</f>
        <v>0</v>
      </c>
      <c r="BU120" s="162" t="s">
        <v>51</v>
      </c>
      <c r="BV120" s="162" t="s">
        <v>51</v>
      </c>
      <c r="BW120" s="161">
        <f>'бюджет округа (района)'!AM121+'бюджеты поселений'!AM121</f>
        <v>0</v>
      </c>
      <c r="BX120" s="161">
        <f>'бюджет округа (района)'!AM121</f>
        <v>0</v>
      </c>
      <c r="BY120" s="161">
        <f t="shared" si="644"/>
        <v>0</v>
      </c>
      <c r="BZ120" s="161">
        <f>BX120-$F120</f>
        <v>0</v>
      </c>
      <c r="CA120" s="162" t="s">
        <v>51</v>
      </c>
      <c r="CB120" s="162" t="s">
        <v>51</v>
      </c>
      <c r="CC120" s="161">
        <f>'бюджет округа (района)'!AP121+'бюджеты поселений'!AP121</f>
        <v>0</v>
      </c>
      <c r="CD120" s="161">
        <f>'бюджет округа (района)'!AP121</f>
        <v>0</v>
      </c>
      <c r="CE120" s="161">
        <f t="shared" si="646"/>
        <v>0</v>
      </c>
      <c r="CF120" s="161">
        <f>CD120-$F120</f>
        <v>0</v>
      </c>
      <c r="CG120" s="162" t="s">
        <v>51</v>
      </c>
      <c r="CH120" s="162" t="s">
        <v>51</v>
      </c>
      <c r="CI120" s="161">
        <f>'бюджет округа (района)'!AS121+'бюджеты поселений'!AS121</f>
        <v>0</v>
      </c>
      <c r="CJ120" s="161">
        <f>'бюджет округа (района)'!AS121</f>
        <v>0</v>
      </c>
      <c r="CK120" s="161">
        <f t="shared" si="648"/>
        <v>0</v>
      </c>
      <c r="CL120" s="161">
        <f>CJ120-$F120</f>
        <v>0</v>
      </c>
      <c r="CM120" s="162" t="s">
        <v>51</v>
      </c>
      <c r="CN120" s="162" t="s">
        <v>51</v>
      </c>
      <c r="CO120" s="161">
        <f>'бюджет округа (района)'!AV121+'бюджеты поселений'!AV121</f>
        <v>0</v>
      </c>
      <c r="CP120" s="161">
        <f>'бюджет округа (района)'!AV121</f>
        <v>0</v>
      </c>
      <c r="CQ120" s="161">
        <f t="shared" si="650"/>
        <v>0</v>
      </c>
      <c r="CR120" s="161">
        <f>CP120-$F120</f>
        <v>0</v>
      </c>
      <c r="CS120" s="162" t="s">
        <v>51</v>
      </c>
      <c r="CT120" s="162" t="s">
        <v>51</v>
      </c>
      <c r="CU120" s="161">
        <f>'бюджет округа (района)'!AY121+'бюджеты поселений'!AY121</f>
        <v>0</v>
      </c>
      <c r="CV120" s="161">
        <f>'бюджет округа (района)'!AY121</f>
        <v>0</v>
      </c>
      <c r="CW120" s="161">
        <f t="shared" si="652"/>
        <v>0</v>
      </c>
      <c r="CX120" s="161">
        <f>CV120-$F120</f>
        <v>0</v>
      </c>
      <c r="CY120" s="162" t="s">
        <v>51</v>
      </c>
      <c r="CZ120" s="162" t="s">
        <v>51</v>
      </c>
      <c r="DA120" s="161">
        <f>'бюджет округа (района)'!BB121+'бюджеты поселений'!BB121</f>
        <v>0</v>
      </c>
      <c r="DB120" s="161">
        <f>'бюджет округа (района)'!BB121</f>
        <v>0</v>
      </c>
      <c r="DC120" s="161">
        <f t="shared" si="654"/>
        <v>0</v>
      </c>
      <c r="DD120" s="161">
        <f>DB120-$F120</f>
        <v>0</v>
      </c>
      <c r="DE120" s="162" t="s">
        <v>51</v>
      </c>
      <c r="DF120" s="162" t="s">
        <v>51</v>
      </c>
      <c r="DG120" s="161">
        <f>'бюджет округа (района)'!BE121+'бюджеты поселений'!BE121</f>
        <v>0</v>
      </c>
      <c r="DH120" s="161">
        <f>'бюджет округа (района)'!BE121</f>
        <v>0</v>
      </c>
      <c r="DI120" s="161">
        <f t="shared" si="656"/>
        <v>0</v>
      </c>
      <c r="DJ120" s="161">
        <f>DH120-$F120</f>
        <v>0</v>
      </c>
      <c r="DK120" s="162" t="s">
        <v>51</v>
      </c>
      <c r="DL120" s="162" t="s">
        <v>51</v>
      </c>
      <c r="DM120" s="161">
        <f>'бюджет округа (района)'!BH121+'бюджеты поселений'!BH121</f>
        <v>0</v>
      </c>
      <c r="DN120" s="161">
        <f>'бюджет округа (района)'!BH121</f>
        <v>0</v>
      </c>
      <c r="DO120" s="161">
        <f>'бюджет округа (района)'!BI121+'бюджеты поселений'!BI121</f>
        <v>0</v>
      </c>
      <c r="DP120" s="161">
        <f>'бюджет округа (района)'!BI121</f>
        <v>0</v>
      </c>
      <c r="DQ120" s="161">
        <f>'бюджет округа (района)'!BJ121+'бюджеты поселений'!BJ121</f>
        <v>0</v>
      </c>
      <c r="DR120" s="161">
        <f>'бюджет округа (района)'!BJ121</f>
        <v>0</v>
      </c>
      <c r="DS120" s="162" t="s">
        <v>51</v>
      </c>
      <c r="DT120" s="162" t="s">
        <v>51</v>
      </c>
      <c r="DU120" s="162">
        <f t="shared" si="616"/>
        <v>1</v>
      </c>
      <c r="DV120" s="162">
        <f t="shared" si="617"/>
        <v>1</v>
      </c>
      <c r="DW120" s="171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215" t="s">
        <v>76</v>
      </c>
      <c r="B121" s="216"/>
      <c r="C121" s="161">
        <f>'бюджет округа (района)'!C122+'бюджеты поселений'!C122</f>
        <v>0</v>
      </c>
      <c r="D121" s="161">
        <f>'бюджет округа (района)'!C122</f>
        <v>0</v>
      </c>
      <c r="E121" s="161">
        <f t="shared" si="658"/>
        <v>0</v>
      </c>
      <c r="F121" s="161">
        <f t="shared" si="658"/>
        <v>0</v>
      </c>
      <c r="G121" s="161">
        <f>'бюджет округа (района)'!E122+'бюджеты поселений'!E122</f>
        <v>0</v>
      </c>
      <c r="H121" s="161">
        <f>'бюджет округа (района)'!E122</f>
        <v>0</v>
      </c>
      <c r="I121" s="161">
        <f>'бюджет округа (района)'!F122+'бюджеты поселений'!F122</f>
        <v>0</v>
      </c>
      <c r="J121" s="161">
        <f>'бюджет округа (района)'!F122</f>
        <v>0</v>
      </c>
      <c r="K121" s="161">
        <f t="shared" si="618"/>
        <v>0</v>
      </c>
      <c r="L121" s="161">
        <f t="shared" si="619"/>
        <v>0</v>
      </c>
      <c r="M121" s="161">
        <f>'бюджет округа (района)'!H122+'бюджеты поселений'!H122</f>
        <v>0</v>
      </c>
      <c r="N121" s="161">
        <f>'бюджет округа (района)'!H122</f>
        <v>0</v>
      </c>
      <c r="O121" s="161">
        <f t="shared" si="620"/>
        <v>0</v>
      </c>
      <c r="P121" s="161">
        <f t="shared" si="621"/>
        <v>0</v>
      </c>
      <c r="Q121" s="161">
        <f>'бюджет округа (района)'!J122+'бюджеты поселений'!J122</f>
        <v>0</v>
      </c>
      <c r="R121" s="161">
        <f>'бюджет округа (района)'!J122</f>
        <v>0</v>
      </c>
      <c r="S121" s="161">
        <f t="shared" si="622"/>
        <v>0</v>
      </c>
      <c r="T121" s="161">
        <f t="shared" si="623"/>
        <v>0</v>
      </c>
      <c r="U121" s="161">
        <f>'бюджет округа (района)'!L122+'бюджеты поселений'!L122</f>
        <v>0</v>
      </c>
      <c r="V121" s="161">
        <f>'бюджет округа (района)'!L122</f>
        <v>0</v>
      </c>
      <c r="W121" s="161">
        <f t="shared" si="624"/>
        <v>0</v>
      </c>
      <c r="X121" s="161">
        <f t="shared" si="625"/>
        <v>0</v>
      </c>
      <c r="Y121" s="161">
        <f>'бюджет округа (района)'!N122+'бюджеты поселений'!N122</f>
        <v>0</v>
      </c>
      <c r="Z121" s="161">
        <f>'бюджет округа (района)'!N122</f>
        <v>0</v>
      </c>
      <c r="AA121" s="161">
        <f t="shared" si="626"/>
        <v>0</v>
      </c>
      <c r="AB121" s="161">
        <f t="shared" si="627"/>
        <v>0</v>
      </c>
      <c r="AC121" s="161">
        <f>'бюджет округа (района)'!P122+'бюджеты поселений'!P122</f>
        <v>0</v>
      </c>
      <c r="AD121" s="161">
        <f>'бюджет округа (района)'!P122</f>
        <v>0</v>
      </c>
      <c r="AE121" s="161">
        <f t="shared" si="628"/>
        <v>0</v>
      </c>
      <c r="AF121" s="161">
        <f t="shared" si="629"/>
        <v>0</v>
      </c>
      <c r="AG121" s="161">
        <f>'бюджет округа (района)'!R122+'бюджеты поселений'!R122</f>
        <v>0</v>
      </c>
      <c r="AH121" s="161">
        <f>'бюджет округа (района)'!R122</f>
        <v>0</v>
      </c>
      <c r="AI121" s="161">
        <f t="shared" si="630"/>
        <v>0</v>
      </c>
      <c r="AJ121" s="161">
        <f t="shared" si="631"/>
        <v>0</v>
      </c>
      <c r="AK121" s="161">
        <f>'бюджет округа (района)'!T122+'бюджеты поселений'!T122</f>
        <v>0</v>
      </c>
      <c r="AL121" s="161">
        <f>'бюджет округа (района)'!T122</f>
        <v>0</v>
      </c>
      <c r="AM121" s="161">
        <f t="shared" si="632"/>
        <v>0</v>
      </c>
      <c r="AN121" s="161">
        <f t="shared" si="633"/>
        <v>0</v>
      </c>
      <c r="AO121" s="161">
        <f>'бюджет округа (района)'!V122+'бюджеты поселений'!V122</f>
        <v>0</v>
      </c>
      <c r="AP121" s="161">
        <f>'бюджет округа (района)'!V122</f>
        <v>0</v>
      </c>
      <c r="AQ121" s="161">
        <f t="shared" si="634"/>
        <v>0</v>
      </c>
      <c r="AR121" s="161">
        <f t="shared" si="635"/>
        <v>0</v>
      </c>
      <c r="AS121" s="161">
        <f>'бюджет округа (района)'!X122+'бюджеты поселений'!X122</f>
        <v>0</v>
      </c>
      <c r="AT121" s="161">
        <f>'бюджет округа (района)'!X122</f>
        <v>0</v>
      </c>
      <c r="AU121" s="161">
        <f t="shared" si="636"/>
        <v>0</v>
      </c>
      <c r="AV121" s="161">
        <f t="shared" si="637"/>
        <v>0</v>
      </c>
      <c r="AW121" s="161">
        <f>'бюджет округа (района)'!Z122+'бюджеты поселений'!Z122</f>
        <v>0</v>
      </c>
      <c r="AX121" s="161">
        <f>'бюджет округа (района)'!Z122</f>
        <v>0</v>
      </c>
      <c r="AY121" s="161" t="e">
        <f>'бюджет округа (района)'!AA122+'бюджеты поселений'!AA122</f>
        <v>#VALUE!</v>
      </c>
      <c r="AZ121" s="161" t="str">
        <f>'бюджет округа (района)'!AA122</f>
        <v>x</v>
      </c>
      <c r="BA121" s="162" t="s">
        <v>51</v>
      </c>
      <c r="BB121" s="162" t="s">
        <v>51</v>
      </c>
      <c r="BC121" s="161">
        <f>'бюджет округа (района)'!AC122+'бюджеты поселений'!AC122</f>
        <v>0</v>
      </c>
      <c r="BD121" s="161">
        <f>'бюджет округа (района)'!AC122</f>
        <v>0</v>
      </c>
      <c r="BE121" s="161">
        <f>'бюджет округа (района)'!AD122+'бюджеты поселений'!AD122</f>
        <v>0</v>
      </c>
      <c r="BF121" s="161">
        <f>'бюджет округа (района)'!AD122</f>
        <v>0</v>
      </c>
      <c r="BG121" s="161">
        <f t="shared" si="638"/>
        <v>0</v>
      </c>
      <c r="BH121" s="161">
        <f t="shared" si="639"/>
        <v>0</v>
      </c>
      <c r="BI121" s="162" t="s">
        <v>51</v>
      </c>
      <c r="BJ121" s="162" t="s">
        <v>51</v>
      </c>
      <c r="BK121" s="161">
        <f>'бюджет округа (района)'!AG122+'бюджеты поселений'!AG122</f>
        <v>0</v>
      </c>
      <c r="BL121" s="161">
        <f>'бюджет округа (района)'!AG122</f>
        <v>0</v>
      </c>
      <c r="BM121" s="161">
        <f t="shared" si="640"/>
        <v>0</v>
      </c>
      <c r="BN121" s="161">
        <f t="shared" ref="BN121" si="659">BL121-$F121</f>
        <v>0</v>
      </c>
      <c r="BO121" s="162" t="s">
        <v>51</v>
      </c>
      <c r="BP121" s="162" t="s">
        <v>51</v>
      </c>
      <c r="BQ121" s="161">
        <f>'бюджет округа (района)'!AJ122+'бюджеты поселений'!AJ122</f>
        <v>0</v>
      </c>
      <c r="BR121" s="161">
        <f>'бюджет округа (района)'!AJ122</f>
        <v>0</v>
      </c>
      <c r="BS121" s="161">
        <f t="shared" si="642"/>
        <v>0</v>
      </c>
      <c r="BT121" s="161">
        <f t="shared" ref="BT121" si="660">BR121-$F121</f>
        <v>0</v>
      </c>
      <c r="BU121" s="162" t="s">
        <v>51</v>
      </c>
      <c r="BV121" s="162" t="s">
        <v>51</v>
      </c>
      <c r="BW121" s="161">
        <f>'бюджет округа (района)'!AM122+'бюджеты поселений'!AM122</f>
        <v>0</v>
      </c>
      <c r="BX121" s="161">
        <f>'бюджет округа (района)'!AM122</f>
        <v>0</v>
      </c>
      <c r="BY121" s="161">
        <f t="shared" si="644"/>
        <v>0</v>
      </c>
      <c r="BZ121" s="161">
        <f t="shared" ref="BZ121" si="661">BX121-$F121</f>
        <v>0</v>
      </c>
      <c r="CA121" s="162" t="s">
        <v>51</v>
      </c>
      <c r="CB121" s="162" t="s">
        <v>51</v>
      </c>
      <c r="CC121" s="161">
        <f>'бюджет округа (района)'!AP122+'бюджеты поселений'!AP122</f>
        <v>0</v>
      </c>
      <c r="CD121" s="161">
        <f>'бюджет округа (района)'!AP122</f>
        <v>0</v>
      </c>
      <c r="CE121" s="161">
        <f t="shared" si="646"/>
        <v>0</v>
      </c>
      <c r="CF121" s="161">
        <f t="shared" ref="CF121" si="662">CD121-$F121</f>
        <v>0</v>
      </c>
      <c r="CG121" s="162" t="s">
        <v>51</v>
      </c>
      <c r="CH121" s="162" t="s">
        <v>51</v>
      </c>
      <c r="CI121" s="161">
        <f>'бюджет округа (района)'!AS122+'бюджеты поселений'!AS122</f>
        <v>0</v>
      </c>
      <c r="CJ121" s="161">
        <f>'бюджет округа (района)'!AS122</f>
        <v>0</v>
      </c>
      <c r="CK121" s="161">
        <f t="shared" si="648"/>
        <v>0</v>
      </c>
      <c r="CL121" s="161">
        <f t="shared" ref="CL121" si="663">CJ121-$F121</f>
        <v>0</v>
      </c>
      <c r="CM121" s="162" t="s">
        <v>51</v>
      </c>
      <c r="CN121" s="162" t="s">
        <v>51</v>
      </c>
      <c r="CO121" s="161">
        <f>'бюджет округа (района)'!AV122+'бюджеты поселений'!AV122</f>
        <v>0</v>
      </c>
      <c r="CP121" s="161">
        <f>'бюджет округа (района)'!AV122</f>
        <v>0</v>
      </c>
      <c r="CQ121" s="161">
        <f t="shared" si="650"/>
        <v>0</v>
      </c>
      <c r="CR121" s="161">
        <f t="shared" ref="CR121" si="664">CP121-$F121</f>
        <v>0</v>
      </c>
      <c r="CS121" s="162" t="s">
        <v>51</v>
      </c>
      <c r="CT121" s="162" t="s">
        <v>51</v>
      </c>
      <c r="CU121" s="161">
        <f>'бюджет округа (района)'!AY122+'бюджеты поселений'!AY122</f>
        <v>0</v>
      </c>
      <c r="CV121" s="161">
        <f>'бюджет округа (района)'!AY122</f>
        <v>0</v>
      </c>
      <c r="CW121" s="161">
        <f t="shared" si="652"/>
        <v>0</v>
      </c>
      <c r="CX121" s="161">
        <f t="shared" ref="CX121" si="665">CV121-$F121</f>
        <v>0</v>
      </c>
      <c r="CY121" s="162" t="s">
        <v>51</v>
      </c>
      <c r="CZ121" s="162" t="s">
        <v>51</v>
      </c>
      <c r="DA121" s="161">
        <f>'бюджет округа (района)'!BB122+'бюджеты поселений'!BB122</f>
        <v>0</v>
      </c>
      <c r="DB121" s="161">
        <f>'бюджет округа (района)'!BB122</f>
        <v>0</v>
      </c>
      <c r="DC121" s="161">
        <f t="shared" si="654"/>
        <v>0</v>
      </c>
      <c r="DD121" s="161">
        <f t="shared" ref="DD121" si="666">DB121-$F121</f>
        <v>0</v>
      </c>
      <c r="DE121" s="162" t="s">
        <v>51</v>
      </c>
      <c r="DF121" s="162" t="s">
        <v>51</v>
      </c>
      <c r="DG121" s="161">
        <f>'бюджет округа (района)'!BE122+'бюджеты поселений'!BE122</f>
        <v>0</v>
      </c>
      <c r="DH121" s="161">
        <f>'бюджет округа (района)'!BE122</f>
        <v>0</v>
      </c>
      <c r="DI121" s="161">
        <f t="shared" si="656"/>
        <v>0</v>
      </c>
      <c r="DJ121" s="161">
        <f t="shared" ref="DJ121" si="667">DH121-$F121</f>
        <v>0</v>
      </c>
      <c r="DK121" s="162" t="s">
        <v>51</v>
      </c>
      <c r="DL121" s="162" t="s">
        <v>51</v>
      </c>
      <c r="DM121" s="161">
        <f>'бюджет округа (района)'!BH122+'бюджеты поселений'!BH122</f>
        <v>0</v>
      </c>
      <c r="DN121" s="161">
        <f>'бюджет округа (района)'!BH122</f>
        <v>0</v>
      </c>
      <c r="DO121" s="161">
        <f>'бюджет округа (района)'!BI122+'бюджеты поселений'!BI122</f>
        <v>0</v>
      </c>
      <c r="DP121" s="161">
        <f>'бюджет округа (района)'!BI122</f>
        <v>0</v>
      </c>
      <c r="DQ121" s="161">
        <f>'бюджет округа (района)'!BJ122+'бюджеты поселений'!BJ122</f>
        <v>0</v>
      </c>
      <c r="DR121" s="161">
        <f>'бюджет округа (района)'!BJ122</f>
        <v>0</v>
      </c>
      <c r="DS121" s="162" t="s">
        <v>51</v>
      </c>
      <c r="DT121" s="162" t="s">
        <v>51</v>
      </c>
      <c r="DU121" s="162">
        <f t="shared" si="616"/>
        <v>1</v>
      </c>
      <c r="DV121" s="162">
        <f t="shared" si="617"/>
        <v>1</v>
      </c>
      <c r="DW121" s="171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215" t="s">
        <v>129</v>
      </c>
      <c r="B122" s="216"/>
      <c r="C122" s="138">
        <f>'бюджет округа (района)'!C123+'бюджеты поселений'!C123</f>
        <v>0</v>
      </c>
      <c r="D122" s="138">
        <f>'бюджет округа (района)'!C123</f>
        <v>0</v>
      </c>
      <c r="E122" s="138">
        <f t="shared" si="658"/>
        <v>0</v>
      </c>
      <c r="F122" s="138">
        <f t="shared" si="658"/>
        <v>0</v>
      </c>
      <c r="G122" s="138">
        <f>'бюджет округа (района)'!E123+'бюджеты поселений'!E123</f>
        <v>0</v>
      </c>
      <c r="H122" s="138">
        <f>'бюджет округа (района)'!E123</f>
        <v>0</v>
      </c>
      <c r="I122" s="138">
        <f>'бюджет округа (района)'!F123+'бюджеты поселений'!F123</f>
        <v>0</v>
      </c>
      <c r="J122" s="138">
        <f>'бюджет округа (района)'!F123</f>
        <v>0</v>
      </c>
      <c r="K122" s="138">
        <f t="shared" si="618"/>
        <v>0</v>
      </c>
      <c r="L122" s="138">
        <f t="shared" si="619"/>
        <v>0</v>
      </c>
      <c r="M122" s="138">
        <f>'бюджет округа (района)'!H123+'бюджеты поселений'!H123</f>
        <v>0</v>
      </c>
      <c r="N122" s="138">
        <f>'бюджет округа (района)'!H123</f>
        <v>0</v>
      </c>
      <c r="O122" s="138">
        <f t="shared" si="620"/>
        <v>0</v>
      </c>
      <c r="P122" s="138">
        <f t="shared" si="621"/>
        <v>0</v>
      </c>
      <c r="Q122" s="138">
        <f>'бюджет округа (района)'!J123+'бюджеты поселений'!J123</f>
        <v>0</v>
      </c>
      <c r="R122" s="138">
        <f>'бюджет округа (района)'!J123</f>
        <v>0</v>
      </c>
      <c r="S122" s="138">
        <f t="shared" si="622"/>
        <v>0</v>
      </c>
      <c r="T122" s="138">
        <f t="shared" si="623"/>
        <v>0</v>
      </c>
      <c r="U122" s="138">
        <f>'бюджет округа (района)'!L123+'бюджеты поселений'!L123</f>
        <v>0</v>
      </c>
      <c r="V122" s="138">
        <f>'бюджет округа (района)'!L123</f>
        <v>0</v>
      </c>
      <c r="W122" s="138">
        <f t="shared" si="624"/>
        <v>0</v>
      </c>
      <c r="X122" s="138">
        <f t="shared" si="625"/>
        <v>0</v>
      </c>
      <c r="Y122" s="138">
        <f>'бюджет округа (района)'!N123+'бюджеты поселений'!N123</f>
        <v>0</v>
      </c>
      <c r="Z122" s="138">
        <f>'бюджет округа (района)'!N123</f>
        <v>0</v>
      </c>
      <c r="AA122" s="138">
        <f t="shared" si="626"/>
        <v>0</v>
      </c>
      <c r="AB122" s="138">
        <f t="shared" si="627"/>
        <v>0</v>
      </c>
      <c r="AC122" s="138">
        <f>'бюджет округа (района)'!P123+'бюджеты поселений'!P123</f>
        <v>0</v>
      </c>
      <c r="AD122" s="138">
        <f>'бюджет округа (района)'!P123</f>
        <v>0</v>
      </c>
      <c r="AE122" s="138">
        <f t="shared" si="628"/>
        <v>0</v>
      </c>
      <c r="AF122" s="138">
        <f t="shared" si="629"/>
        <v>0</v>
      </c>
      <c r="AG122" s="138">
        <f>'бюджет округа (района)'!R123+'бюджеты поселений'!R123</f>
        <v>0</v>
      </c>
      <c r="AH122" s="138">
        <f>'бюджет округа (района)'!R123</f>
        <v>0</v>
      </c>
      <c r="AI122" s="138">
        <f t="shared" si="630"/>
        <v>0</v>
      </c>
      <c r="AJ122" s="138">
        <f t="shared" si="631"/>
        <v>0</v>
      </c>
      <c r="AK122" s="138">
        <f>'бюджет округа (района)'!T123+'бюджеты поселений'!T123</f>
        <v>0</v>
      </c>
      <c r="AL122" s="138">
        <f>'бюджет округа (района)'!T123</f>
        <v>0</v>
      </c>
      <c r="AM122" s="138">
        <f t="shared" si="632"/>
        <v>0</v>
      </c>
      <c r="AN122" s="138">
        <f t="shared" si="633"/>
        <v>0</v>
      </c>
      <c r="AO122" s="138">
        <f>'бюджет округа (района)'!V123+'бюджеты поселений'!V123</f>
        <v>0</v>
      </c>
      <c r="AP122" s="138">
        <f>'бюджет округа (района)'!V123</f>
        <v>0</v>
      </c>
      <c r="AQ122" s="138">
        <f t="shared" si="634"/>
        <v>0</v>
      </c>
      <c r="AR122" s="138">
        <f t="shared" si="635"/>
        <v>0</v>
      </c>
      <c r="AS122" s="138">
        <f>'бюджет округа (района)'!X123+'бюджеты поселений'!X123</f>
        <v>0</v>
      </c>
      <c r="AT122" s="138">
        <f>'бюджет округа (района)'!X123</f>
        <v>0</v>
      </c>
      <c r="AU122" s="138">
        <f t="shared" si="636"/>
        <v>0</v>
      </c>
      <c r="AV122" s="138">
        <f t="shared" si="637"/>
        <v>0</v>
      </c>
      <c r="AW122" s="138">
        <f>'бюджет округа (района)'!Z123+'бюджеты поселений'!Z123</f>
        <v>0</v>
      </c>
      <c r="AX122" s="138">
        <f>'бюджет округа (района)'!Z123</f>
        <v>0</v>
      </c>
      <c r="AY122" s="138" t="e">
        <f>'бюджет округа (района)'!AA123+'бюджеты поселений'!AA123</f>
        <v>#VALUE!</v>
      </c>
      <c r="AZ122" s="138" t="str">
        <f>'бюджет округа (района)'!AA123</f>
        <v>x</v>
      </c>
      <c r="BA122" s="162" t="s">
        <v>51</v>
      </c>
      <c r="BB122" s="162" t="s">
        <v>51</v>
      </c>
      <c r="BC122" s="138">
        <f>'бюджет округа (района)'!AC123+'бюджеты поселений'!AC123</f>
        <v>0</v>
      </c>
      <c r="BD122" s="138">
        <f>'бюджет округа (района)'!AC123</f>
        <v>0</v>
      </c>
      <c r="BE122" s="138">
        <f>'бюджет округа (района)'!AD123+'бюджеты поселений'!AD123</f>
        <v>0</v>
      </c>
      <c r="BF122" s="138">
        <f>'бюджет округа (района)'!AD123</f>
        <v>0</v>
      </c>
      <c r="BG122" s="138">
        <f t="shared" si="638"/>
        <v>0</v>
      </c>
      <c r="BH122" s="138">
        <f>BF122-$F122</f>
        <v>0</v>
      </c>
      <c r="BI122" s="162" t="s">
        <v>51</v>
      </c>
      <c r="BJ122" s="162" t="s">
        <v>51</v>
      </c>
      <c r="BK122" s="138">
        <f>'бюджет округа (района)'!AG123+'бюджеты поселений'!AG123</f>
        <v>0</v>
      </c>
      <c r="BL122" s="138">
        <f>'бюджет округа (района)'!AG123</f>
        <v>0</v>
      </c>
      <c r="BM122" s="138">
        <f t="shared" si="640"/>
        <v>0</v>
      </c>
      <c r="BN122" s="138">
        <f>BL122-$F122</f>
        <v>0</v>
      </c>
      <c r="BO122" s="162" t="s">
        <v>51</v>
      </c>
      <c r="BP122" s="162" t="s">
        <v>51</v>
      </c>
      <c r="BQ122" s="138">
        <f>'бюджет округа (района)'!AJ123+'бюджеты поселений'!AJ123</f>
        <v>0</v>
      </c>
      <c r="BR122" s="138">
        <f>'бюджет округа (района)'!AJ123</f>
        <v>0</v>
      </c>
      <c r="BS122" s="138">
        <f t="shared" si="642"/>
        <v>0</v>
      </c>
      <c r="BT122" s="138">
        <f>BR122-$F122</f>
        <v>0</v>
      </c>
      <c r="BU122" s="162" t="s">
        <v>51</v>
      </c>
      <c r="BV122" s="162" t="s">
        <v>51</v>
      </c>
      <c r="BW122" s="138">
        <f>'бюджет округа (района)'!AM123+'бюджеты поселений'!AM123</f>
        <v>0</v>
      </c>
      <c r="BX122" s="138">
        <f>'бюджет округа (района)'!AM123</f>
        <v>0</v>
      </c>
      <c r="BY122" s="138">
        <f t="shared" si="644"/>
        <v>0</v>
      </c>
      <c r="BZ122" s="138">
        <f>BX122-$F122</f>
        <v>0</v>
      </c>
      <c r="CA122" s="162" t="s">
        <v>51</v>
      </c>
      <c r="CB122" s="162" t="s">
        <v>51</v>
      </c>
      <c r="CC122" s="138">
        <f>'бюджет округа (района)'!AP123+'бюджеты поселений'!AP123</f>
        <v>0</v>
      </c>
      <c r="CD122" s="138">
        <f>'бюджет округа (района)'!AP123</f>
        <v>0</v>
      </c>
      <c r="CE122" s="138">
        <f t="shared" si="646"/>
        <v>0</v>
      </c>
      <c r="CF122" s="138">
        <f>CD122-$F122</f>
        <v>0</v>
      </c>
      <c r="CG122" s="162" t="s">
        <v>51</v>
      </c>
      <c r="CH122" s="162" t="s">
        <v>51</v>
      </c>
      <c r="CI122" s="138">
        <f>'бюджет округа (района)'!AS123+'бюджеты поселений'!AS123</f>
        <v>0</v>
      </c>
      <c r="CJ122" s="138">
        <f>'бюджет округа (района)'!AS123</f>
        <v>0</v>
      </c>
      <c r="CK122" s="138">
        <f t="shared" si="648"/>
        <v>0</v>
      </c>
      <c r="CL122" s="138">
        <f>CJ122-$F122</f>
        <v>0</v>
      </c>
      <c r="CM122" s="162" t="s">
        <v>51</v>
      </c>
      <c r="CN122" s="162" t="s">
        <v>51</v>
      </c>
      <c r="CO122" s="138">
        <f>'бюджет округа (района)'!AV123+'бюджеты поселений'!AV123</f>
        <v>0</v>
      </c>
      <c r="CP122" s="138">
        <f>'бюджет округа (района)'!AV123</f>
        <v>0</v>
      </c>
      <c r="CQ122" s="138">
        <f t="shared" si="650"/>
        <v>0</v>
      </c>
      <c r="CR122" s="138">
        <f>CP122-$F122</f>
        <v>0</v>
      </c>
      <c r="CS122" s="162" t="s">
        <v>51</v>
      </c>
      <c r="CT122" s="162" t="s">
        <v>51</v>
      </c>
      <c r="CU122" s="138">
        <f>'бюджет округа (района)'!AY123+'бюджеты поселений'!AY123</f>
        <v>0</v>
      </c>
      <c r="CV122" s="138">
        <f>'бюджет округа (района)'!AY123</f>
        <v>0</v>
      </c>
      <c r="CW122" s="138">
        <f t="shared" si="652"/>
        <v>0</v>
      </c>
      <c r="CX122" s="138">
        <f>CV122-$F122</f>
        <v>0</v>
      </c>
      <c r="CY122" s="162" t="s">
        <v>51</v>
      </c>
      <c r="CZ122" s="162" t="s">
        <v>51</v>
      </c>
      <c r="DA122" s="138">
        <f>'бюджет округа (района)'!BB123+'бюджеты поселений'!BB123</f>
        <v>0</v>
      </c>
      <c r="DB122" s="138">
        <f>'бюджет округа (района)'!BB123</f>
        <v>0</v>
      </c>
      <c r="DC122" s="138">
        <f t="shared" si="654"/>
        <v>0</v>
      </c>
      <c r="DD122" s="138">
        <f>DB122-$F122</f>
        <v>0</v>
      </c>
      <c r="DE122" s="162" t="s">
        <v>51</v>
      </c>
      <c r="DF122" s="162" t="s">
        <v>51</v>
      </c>
      <c r="DG122" s="138">
        <f>'бюджет округа (района)'!BE123+'бюджеты поселений'!BE123</f>
        <v>0</v>
      </c>
      <c r="DH122" s="138">
        <f>'бюджет округа (района)'!BE123</f>
        <v>0</v>
      </c>
      <c r="DI122" s="138">
        <f t="shared" si="656"/>
        <v>0</v>
      </c>
      <c r="DJ122" s="138">
        <f>DH122-$F122</f>
        <v>0</v>
      </c>
      <c r="DK122" s="162" t="s">
        <v>51</v>
      </c>
      <c r="DL122" s="162" t="s">
        <v>51</v>
      </c>
      <c r="DM122" s="138">
        <f>'бюджет округа (района)'!BH123+'бюджеты поселений'!BH123</f>
        <v>0</v>
      </c>
      <c r="DN122" s="138">
        <f>'бюджет округа (района)'!BH123</f>
        <v>0</v>
      </c>
      <c r="DO122" s="138">
        <f>'бюджет округа (района)'!BI123+'бюджеты поселений'!BI123</f>
        <v>0</v>
      </c>
      <c r="DP122" s="138">
        <f>'бюджет округа (района)'!BI123</f>
        <v>0</v>
      </c>
      <c r="DQ122" s="138">
        <f>'бюджет округа (района)'!BJ123+'бюджеты поселений'!BJ123</f>
        <v>0</v>
      </c>
      <c r="DR122" s="138">
        <f>'бюджет округа (района)'!BJ123</f>
        <v>0</v>
      </c>
      <c r="DS122" s="162" t="s">
        <v>51</v>
      </c>
      <c r="DT122" s="162" t="s">
        <v>51</v>
      </c>
      <c r="DU122" s="162">
        <f t="shared" si="616"/>
        <v>1</v>
      </c>
      <c r="DV122" s="162">
        <f t="shared" si="617"/>
        <v>1</v>
      </c>
      <c r="DW122" s="171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87" customFormat="1" ht="35.25" customHeight="1">
      <c r="A123" s="217" t="s">
        <v>77</v>
      </c>
      <c r="B123" s="218"/>
      <c r="C123" s="130">
        <f>'бюджет округа (района)'!C124+'бюджеты поселений'!C124</f>
        <v>0</v>
      </c>
      <c r="D123" s="130">
        <f>'бюджет округа (района)'!C124</f>
        <v>0</v>
      </c>
      <c r="E123" s="130">
        <f t="shared" si="658"/>
        <v>0</v>
      </c>
      <c r="F123" s="130">
        <f t="shared" si="658"/>
        <v>0</v>
      </c>
      <c r="G123" s="130">
        <f>'бюджет округа (района)'!E124+'бюджеты поселений'!E124</f>
        <v>0</v>
      </c>
      <c r="H123" s="130">
        <f>'бюджет округа (района)'!E124</f>
        <v>0</v>
      </c>
      <c r="I123" s="130">
        <f>'бюджет округа (района)'!F124+'бюджеты поселений'!F124</f>
        <v>0</v>
      </c>
      <c r="J123" s="130">
        <f>'бюджет округа (района)'!F124</f>
        <v>0</v>
      </c>
      <c r="K123" s="130">
        <f t="shared" si="618"/>
        <v>0</v>
      </c>
      <c r="L123" s="130">
        <f t="shared" si="619"/>
        <v>0</v>
      </c>
      <c r="M123" s="130">
        <f>'бюджет округа (района)'!H124+'бюджеты поселений'!H124</f>
        <v>0</v>
      </c>
      <c r="N123" s="130">
        <f>'бюджет округа (района)'!H124</f>
        <v>0</v>
      </c>
      <c r="O123" s="130">
        <f t="shared" si="620"/>
        <v>0</v>
      </c>
      <c r="P123" s="130">
        <f t="shared" si="621"/>
        <v>0</v>
      </c>
      <c r="Q123" s="130">
        <f>'бюджет округа (района)'!J124+'бюджеты поселений'!J124</f>
        <v>0</v>
      </c>
      <c r="R123" s="130">
        <f>'бюджет округа (района)'!J124</f>
        <v>0</v>
      </c>
      <c r="S123" s="130">
        <f t="shared" si="622"/>
        <v>0</v>
      </c>
      <c r="T123" s="130">
        <f t="shared" si="623"/>
        <v>0</v>
      </c>
      <c r="U123" s="130">
        <f>'бюджет округа (района)'!L124+'бюджеты поселений'!L124</f>
        <v>0</v>
      </c>
      <c r="V123" s="130">
        <f>'бюджет округа (района)'!L124</f>
        <v>0</v>
      </c>
      <c r="W123" s="130">
        <f t="shared" si="624"/>
        <v>0</v>
      </c>
      <c r="X123" s="130">
        <f t="shared" si="625"/>
        <v>0</v>
      </c>
      <c r="Y123" s="130">
        <f>'бюджет округа (района)'!N124+'бюджеты поселений'!N124</f>
        <v>0</v>
      </c>
      <c r="Z123" s="130">
        <f>'бюджет округа (района)'!N124</f>
        <v>0</v>
      </c>
      <c r="AA123" s="130">
        <f t="shared" si="626"/>
        <v>0</v>
      </c>
      <c r="AB123" s="130">
        <f t="shared" si="627"/>
        <v>0</v>
      </c>
      <c r="AC123" s="130">
        <f>'бюджет округа (района)'!P124+'бюджеты поселений'!P124</f>
        <v>0</v>
      </c>
      <c r="AD123" s="130">
        <f>'бюджет округа (района)'!P124</f>
        <v>0</v>
      </c>
      <c r="AE123" s="130">
        <f t="shared" si="628"/>
        <v>0</v>
      </c>
      <c r="AF123" s="130">
        <f t="shared" si="629"/>
        <v>0</v>
      </c>
      <c r="AG123" s="130">
        <f>'бюджет округа (района)'!R124+'бюджеты поселений'!R124</f>
        <v>0</v>
      </c>
      <c r="AH123" s="130">
        <f>'бюджет округа (района)'!R124</f>
        <v>0</v>
      </c>
      <c r="AI123" s="130">
        <f t="shared" si="630"/>
        <v>0</v>
      </c>
      <c r="AJ123" s="130">
        <f t="shared" si="631"/>
        <v>0</v>
      </c>
      <c r="AK123" s="130">
        <f>'бюджет округа (района)'!T124+'бюджеты поселений'!T124</f>
        <v>0</v>
      </c>
      <c r="AL123" s="130">
        <f>'бюджет округа (района)'!T124</f>
        <v>0</v>
      </c>
      <c r="AM123" s="130">
        <f t="shared" si="632"/>
        <v>0</v>
      </c>
      <c r="AN123" s="130">
        <f t="shared" si="633"/>
        <v>0</v>
      </c>
      <c r="AO123" s="130">
        <f>'бюджет округа (района)'!V124+'бюджеты поселений'!V124</f>
        <v>0</v>
      </c>
      <c r="AP123" s="130">
        <f>'бюджет округа (района)'!V124</f>
        <v>0</v>
      </c>
      <c r="AQ123" s="130">
        <f t="shared" si="634"/>
        <v>0</v>
      </c>
      <c r="AR123" s="130">
        <f t="shared" si="635"/>
        <v>0</v>
      </c>
      <c r="AS123" s="130">
        <f>'бюджет округа (района)'!X124+'бюджеты поселений'!X124</f>
        <v>0</v>
      </c>
      <c r="AT123" s="130">
        <f>'бюджет округа (района)'!X124</f>
        <v>0</v>
      </c>
      <c r="AU123" s="130">
        <f t="shared" si="636"/>
        <v>0</v>
      </c>
      <c r="AV123" s="130">
        <f t="shared" si="637"/>
        <v>0</v>
      </c>
      <c r="AW123" s="130">
        <f>'бюджет округа (района)'!Z124+'бюджеты поселений'!Z124</f>
        <v>0</v>
      </c>
      <c r="AX123" s="130">
        <f>'бюджет округа (района)'!Z124</f>
        <v>0</v>
      </c>
      <c r="AY123" s="130" t="e">
        <f>'бюджет округа (района)'!AA124+'бюджеты поселений'!AA124</f>
        <v>#VALUE!</v>
      </c>
      <c r="AZ123" s="130" t="str">
        <f>'бюджет округа (района)'!AA124</f>
        <v>x</v>
      </c>
      <c r="BA123" s="143" t="s">
        <v>51</v>
      </c>
      <c r="BB123" s="143" t="s">
        <v>51</v>
      </c>
      <c r="BC123" s="130">
        <f>'бюджет округа (района)'!AC124+'бюджеты поселений'!AC124</f>
        <v>0</v>
      </c>
      <c r="BD123" s="130">
        <f>'бюджет округа (района)'!AC124</f>
        <v>0</v>
      </c>
      <c r="BE123" s="130">
        <f>'бюджет округа (района)'!AD124+'бюджеты поселений'!AD124</f>
        <v>0</v>
      </c>
      <c r="BF123" s="130">
        <f>'бюджет округа (района)'!AD124</f>
        <v>0</v>
      </c>
      <c r="BG123" s="130">
        <f t="shared" si="638"/>
        <v>0</v>
      </c>
      <c r="BH123" s="130">
        <f t="shared" si="639"/>
        <v>0</v>
      </c>
      <c r="BI123" s="143" t="s">
        <v>51</v>
      </c>
      <c r="BJ123" s="143" t="s">
        <v>51</v>
      </c>
      <c r="BK123" s="130">
        <f>'бюджет округа (района)'!AG124+'бюджеты поселений'!AG124</f>
        <v>0</v>
      </c>
      <c r="BL123" s="130">
        <f>'бюджет округа (района)'!AG124</f>
        <v>0</v>
      </c>
      <c r="BM123" s="130">
        <f t="shared" si="640"/>
        <v>0</v>
      </c>
      <c r="BN123" s="130">
        <f t="shared" ref="BN123:BN130" si="668">BL123-$F123</f>
        <v>0</v>
      </c>
      <c r="BO123" s="143" t="s">
        <v>51</v>
      </c>
      <c r="BP123" s="143" t="s">
        <v>51</v>
      </c>
      <c r="BQ123" s="130">
        <f>'бюджет округа (района)'!AJ124+'бюджеты поселений'!AJ124</f>
        <v>0</v>
      </c>
      <c r="BR123" s="130">
        <f>'бюджет округа (района)'!AJ124</f>
        <v>0</v>
      </c>
      <c r="BS123" s="130">
        <f t="shared" si="642"/>
        <v>0</v>
      </c>
      <c r="BT123" s="130">
        <f t="shared" ref="BT123:BT130" si="669">BR123-$F123</f>
        <v>0</v>
      </c>
      <c r="BU123" s="143" t="s">
        <v>51</v>
      </c>
      <c r="BV123" s="143" t="s">
        <v>51</v>
      </c>
      <c r="BW123" s="130">
        <f>'бюджет округа (района)'!AM124+'бюджеты поселений'!AM124</f>
        <v>0</v>
      </c>
      <c r="BX123" s="130">
        <f>'бюджет округа (района)'!AM124</f>
        <v>0</v>
      </c>
      <c r="BY123" s="130">
        <f t="shared" si="644"/>
        <v>0</v>
      </c>
      <c r="BZ123" s="130">
        <f t="shared" ref="BZ123:BZ130" si="670">BX123-$F123</f>
        <v>0</v>
      </c>
      <c r="CA123" s="143" t="s">
        <v>51</v>
      </c>
      <c r="CB123" s="143" t="s">
        <v>51</v>
      </c>
      <c r="CC123" s="130">
        <f>'бюджет округа (района)'!AP124+'бюджеты поселений'!AP124</f>
        <v>0</v>
      </c>
      <c r="CD123" s="130">
        <f>'бюджет округа (района)'!AP124</f>
        <v>0</v>
      </c>
      <c r="CE123" s="130">
        <f t="shared" si="646"/>
        <v>0</v>
      </c>
      <c r="CF123" s="130">
        <f t="shared" ref="CF123:CF130" si="671">CD123-$F123</f>
        <v>0</v>
      </c>
      <c r="CG123" s="143" t="s">
        <v>51</v>
      </c>
      <c r="CH123" s="143" t="s">
        <v>51</v>
      </c>
      <c r="CI123" s="130">
        <f>'бюджет округа (района)'!AS124+'бюджеты поселений'!AS124</f>
        <v>0</v>
      </c>
      <c r="CJ123" s="130">
        <f>'бюджет округа (района)'!AS124</f>
        <v>0</v>
      </c>
      <c r="CK123" s="130">
        <f t="shared" si="648"/>
        <v>0</v>
      </c>
      <c r="CL123" s="130">
        <f t="shared" ref="CL123:CL130" si="672">CJ123-$F123</f>
        <v>0</v>
      </c>
      <c r="CM123" s="143" t="s">
        <v>51</v>
      </c>
      <c r="CN123" s="143" t="s">
        <v>51</v>
      </c>
      <c r="CO123" s="130">
        <f>'бюджет округа (района)'!AV124+'бюджеты поселений'!AV124</f>
        <v>0</v>
      </c>
      <c r="CP123" s="130">
        <f>'бюджет округа (района)'!AV124</f>
        <v>0</v>
      </c>
      <c r="CQ123" s="130">
        <f t="shared" si="650"/>
        <v>0</v>
      </c>
      <c r="CR123" s="130">
        <f t="shared" ref="CR123:CR130" si="673">CP123-$F123</f>
        <v>0</v>
      </c>
      <c r="CS123" s="143" t="s">
        <v>51</v>
      </c>
      <c r="CT123" s="143" t="s">
        <v>51</v>
      </c>
      <c r="CU123" s="130">
        <f>'бюджет округа (района)'!AY124+'бюджеты поселений'!AY124</f>
        <v>0</v>
      </c>
      <c r="CV123" s="130">
        <f>'бюджет округа (района)'!AY124</f>
        <v>0</v>
      </c>
      <c r="CW123" s="130">
        <f t="shared" si="652"/>
        <v>0</v>
      </c>
      <c r="CX123" s="130">
        <f t="shared" ref="CX123:CX130" si="674">CV123-$F123</f>
        <v>0</v>
      </c>
      <c r="CY123" s="143" t="s">
        <v>51</v>
      </c>
      <c r="CZ123" s="143" t="s">
        <v>51</v>
      </c>
      <c r="DA123" s="130">
        <f>'бюджет округа (района)'!BB124+'бюджеты поселений'!BB124</f>
        <v>0</v>
      </c>
      <c r="DB123" s="130">
        <f>'бюджет округа (района)'!BB124</f>
        <v>0</v>
      </c>
      <c r="DC123" s="130">
        <f t="shared" si="654"/>
        <v>0</v>
      </c>
      <c r="DD123" s="130">
        <f t="shared" ref="DD123:DD130" si="675">DB123-$F123</f>
        <v>0</v>
      </c>
      <c r="DE123" s="143" t="s">
        <v>51</v>
      </c>
      <c r="DF123" s="143" t="s">
        <v>51</v>
      </c>
      <c r="DG123" s="130">
        <f>'бюджет округа (района)'!BE124+'бюджеты поселений'!BE124</f>
        <v>0</v>
      </c>
      <c r="DH123" s="130">
        <f>'бюджет округа (района)'!BE124</f>
        <v>0</v>
      </c>
      <c r="DI123" s="130">
        <f t="shared" si="656"/>
        <v>0</v>
      </c>
      <c r="DJ123" s="130">
        <f t="shared" ref="DJ123:DJ130" si="676">DH123-$F123</f>
        <v>0</v>
      </c>
      <c r="DK123" s="143" t="s">
        <v>51</v>
      </c>
      <c r="DL123" s="143" t="s">
        <v>51</v>
      </c>
      <c r="DM123" s="130">
        <f>'бюджет округа (района)'!BH124+'бюджеты поселений'!BH124</f>
        <v>0</v>
      </c>
      <c r="DN123" s="130">
        <f>'бюджет округа (района)'!BH124</f>
        <v>0</v>
      </c>
      <c r="DO123" s="130">
        <f>'бюджет округа (района)'!BI124+'бюджеты поселений'!BI124</f>
        <v>0</v>
      </c>
      <c r="DP123" s="130">
        <f>'бюджет округа (района)'!BI124</f>
        <v>0</v>
      </c>
      <c r="DQ123" s="130">
        <f>'бюджет округа (района)'!BJ124+'бюджеты поселений'!BJ124</f>
        <v>0</v>
      </c>
      <c r="DR123" s="130">
        <f>'бюджет округа (района)'!BJ124</f>
        <v>0</v>
      </c>
      <c r="DS123" s="143" t="s">
        <v>51</v>
      </c>
      <c r="DT123" s="143" t="s">
        <v>51</v>
      </c>
      <c r="DU123" s="143">
        <f t="shared" si="616"/>
        <v>1</v>
      </c>
      <c r="DV123" s="143">
        <f t="shared" si="617"/>
        <v>1</v>
      </c>
      <c r="DW123" s="172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  <c r="EM123" s="88"/>
      <c r="EN123" s="88"/>
      <c r="EO123" s="88"/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</row>
    <row r="124" spans="1:268" s="66" customFormat="1" ht="16.5">
      <c r="A124" s="215" t="s">
        <v>75</v>
      </c>
      <c r="B124" s="216"/>
      <c r="C124" s="161">
        <f>'бюджет округа (района)'!C125+'бюджеты поселений'!C125</f>
        <v>0</v>
      </c>
      <c r="D124" s="161">
        <f>'бюджет округа (района)'!C125</f>
        <v>0</v>
      </c>
      <c r="E124" s="161">
        <f t="shared" si="658"/>
        <v>0</v>
      </c>
      <c r="F124" s="161">
        <f t="shared" si="658"/>
        <v>0</v>
      </c>
      <c r="G124" s="161">
        <f>'бюджет округа (района)'!E125+'бюджеты поселений'!E125</f>
        <v>0</v>
      </c>
      <c r="H124" s="161">
        <f>'бюджет округа (района)'!E125</f>
        <v>0</v>
      </c>
      <c r="I124" s="161">
        <f>'бюджет округа (района)'!F125+'бюджеты поселений'!F125</f>
        <v>0</v>
      </c>
      <c r="J124" s="161">
        <f>'бюджет округа (района)'!F125</f>
        <v>0</v>
      </c>
      <c r="K124" s="161">
        <f t="shared" si="618"/>
        <v>0</v>
      </c>
      <c r="L124" s="161">
        <f t="shared" si="619"/>
        <v>0</v>
      </c>
      <c r="M124" s="161">
        <f>'бюджет округа (района)'!H125+'бюджеты поселений'!H125</f>
        <v>0</v>
      </c>
      <c r="N124" s="161">
        <f>'бюджет округа (района)'!H125</f>
        <v>0</v>
      </c>
      <c r="O124" s="161">
        <f t="shared" si="620"/>
        <v>0</v>
      </c>
      <c r="P124" s="161">
        <f t="shared" si="621"/>
        <v>0</v>
      </c>
      <c r="Q124" s="161">
        <f>'бюджет округа (района)'!J125+'бюджеты поселений'!J125</f>
        <v>0</v>
      </c>
      <c r="R124" s="161">
        <f>'бюджет округа (района)'!J125</f>
        <v>0</v>
      </c>
      <c r="S124" s="161">
        <f t="shared" si="622"/>
        <v>0</v>
      </c>
      <c r="T124" s="161">
        <f t="shared" si="623"/>
        <v>0</v>
      </c>
      <c r="U124" s="161">
        <f>'бюджет округа (района)'!L125+'бюджеты поселений'!L125</f>
        <v>0</v>
      </c>
      <c r="V124" s="161">
        <f>'бюджет округа (района)'!L125</f>
        <v>0</v>
      </c>
      <c r="W124" s="161">
        <f t="shared" si="624"/>
        <v>0</v>
      </c>
      <c r="X124" s="161">
        <f t="shared" si="625"/>
        <v>0</v>
      </c>
      <c r="Y124" s="161">
        <f>'бюджет округа (района)'!N125+'бюджеты поселений'!N125</f>
        <v>0</v>
      </c>
      <c r="Z124" s="161">
        <f>'бюджет округа (района)'!N125</f>
        <v>0</v>
      </c>
      <c r="AA124" s="161">
        <f t="shared" si="626"/>
        <v>0</v>
      </c>
      <c r="AB124" s="161">
        <f t="shared" si="627"/>
        <v>0</v>
      </c>
      <c r="AC124" s="161">
        <f>'бюджет округа (района)'!P125+'бюджеты поселений'!P125</f>
        <v>0</v>
      </c>
      <c r="AD124" s="161">
        <f>'бюджет округа (района)'!P125</f>
        <v>0</v>
      </c>
      <c r="AE124" s="161">
        <f t="shared" si="628"/>
        <v>0</v>
      </c>
      <c r="AF124" s="161">
        <f t="shared" si="629"/>
        <v>0</v>
      </c>
      <c r="AG124" s="161">
        <f>'бюджет округа (района)'!R125+'бюджеты поселений'!R125</f>
        <v>0</v>
      </c>
      <c r="AH124" s="161">
        <f>'бюджет округа (района)'!R125</f>
        <v>0</v>
      </c>
      <c r="AI124" s="161">
        <f t="shared" si="630"/>
        <v>0</v>
      </c>
      <c r="AJ124" s="161">
        <f t="shared" si="631"/>
        <v>0</v>
      </c>
      <c r="AK124" s="161">
        <f>'бюджет округа (района)'!T125+'бюджеты поселений'!T125</f>
        <v>0</v>
      </c>
      <c r="AL124" s="161">
        <f>'бюджет округа (района)'!T125</f>
        <v>0</v>
      </c>
      <c r="AM124" s="161">
        <f t="shared" si="632"/>
        <v>0</v>
      </c>
      <c r="AN124" s="161">
        <f t="shared" si="633"/>
        <v>0</v>
      </c>
      <c r="AO124" s="161">
        <f>'бюджет округа (района)'!V125+'бюджеты поселений'!V125</f>
        <v>0</v>
      </c>
      <c r="AP124" s="161">
        <f>'бюджет округа (района)'!V125</f>
        <v>0</v>
      </c>
      <c r="AQ124" s="161">
        <f t="shared" si="634"/>
        <v>0</v>
      </c>
      <c r="AR124" s="161">
        <f t="shared" si="635"/>
        <v>0</v>
      </c>
      <c r="AS124" s="161">
        <f>'бюджет округа (района)'!X125+'бюджеты поселений'!X125</f>
        <v>0</v>
      </c>
      <c r="AT124" s="161">
        <f>'бюджет округа (района)'!X125</f>
        <v>0</v>
      </c>
      <c r="AU124" s="161">
        <f t="shared" si="636"/>
        <v>0</v>
      </c>
      <c r="AV124" s="161">
        <f t="shared" si="637"/>
        <v>0</v>
      </c>
      <c r="AW124" s="161">
        <f>'бюджет округа (района)'!Z125+'бюджеты поселений'!Z125</f>
        <v>0</v>
      </c>
      <c r="AX124" s="161">
        <f>'бюджет округа (района)'!Z125</f>
        <v>0</v>
      </c>
      <c r="AY124" s="161" t="e">
        <f>'бюджет округа (района)'!AA125+'бюджеты поселений'!AA125</f>
        <v>#VALUE!</v>
      </c>
      <c r="AZ124" s="161" t="str">
        <f>'бюджет округа (района)'!AA125</f>
        <v>x</v>
      </c>
      <c r="BA124" s="162" t="s">
        <v>51</v>
      </c>
      <c r="BB124" s="162" t="s">
        <v>51</v>
      </c>
      <c r="BC124" s="161">
        <f>'бюджет округа (района)'!AC125+'бюджеты поселений'!AC125</f>
        <v>0</v>
      </c>
      <c r="BD124" s="161">
        <f>'бюджет округа (района)'!AC125</f>
        <v>0</v>
      </c>
      <c r="BE124" s="161">
        <f>'бюджет округа (района)'!AD125+'бюджеты поселений'!AD125</f>
        <v>0</v>
      </c>
      <c r="BF124" s="161">
        <f>'бюджет округа (района)'!AD125</f>
        <v>0</v>
      </c>
      <c r="BG124" s="161">
        <f t="shared" si="638"/>
        <v>0</v>
      </c>
      <c r="BH124" s="161">
        <f t="shared" si="639"/>
        <v>0</v>
      </c>
      <c r="BI124" s="162" t="s">
        <v>51</v>
      </c>
      <c r="BJ124" s="162" t="s">
        <v>51</v>
      </c>
      <c r="BK124" s="161">
        <f>'бюджет округа (района)'!AG125+'бюджеты поселений'!AG125</f>
        <v>0</v>
      </c>
      <c r="BL124" s="161">
        <f>'бюджет округа (района)'!AG125</f>
        <v>0</v>
      </c>
      <c r="BM124" s="161">
        <f t="shared" si="640"/>
        <v>0</v>
      </c>
      <c r="BN124" s="161">
        <f t="shared" si="668"/>
        <v>0</v>
      </c>
      <c r="BO124" s="162" t="s">
        <v>51</v>
      </c>
      <c r="BP124" s="162" t="s">
        <v>51</v>
      </c>
      <c r="BQ124" s="161">
        <f>'бюджет округа (района)'!AJ125+'бюджеты поселений'!AJ125</f>
        <v>0</v>
      </c>
      <c r="BR124" s="161">
        <f>'бюджет округа (района)'!AJ125</f>
        <v>0</v>
      </c>
      <c r="BS124" s="161">
        <f t="shared" si="642"/>
        <v>0</v>
      </c>
      <c r="BT124" s="161">
        <f t="shared" si="669"/>
        <v>0</v>
      </c>
      <c r="BU124" s="162" t="s">
        <v>51</v>
      </c>
      <c r="BV124" s="162" t="s">
        <v>51</v>
      </c>
      <c r="BW124" s="161">
        <f>'бюджет округа (района)'!AM125+'бюджеты поселений'!AM125</f>
        <v>0</v>
      </c>
      <c r="BX124" s="161">
        <f>'бюджет округа (района)'!AM125</f>
        <v>0</v>
      </c>
      <c r="BY124" s="161">
        <f t="shared" si="644"/>
        <v>0</v>
      </c>
      <c r="BZ124" s="161">
        <f t="shared" si="670"/>
        <v>0</v>
      </c>
      <c r="CA124" s="162" t="s">
        <v>51</v>
      </c>
      <c r="CB124" s="162" t="s">
        <v>51</v>
      </c>
      <c r="CC124" s="161">
        <f>'бюджет округа (района)'!AP125+'бюджеты поселений'!AP125</f>
        <v>0</v>
      </c>
      <c r="CD124" s="161">
        <f>'бюджет округа (района)'!AP125</f>
        <v>0</v>
      </c>
      <c r="CE124" s="161">
        <f t="shared" si="646"/>
        <v>0</v>
      </c>
      <c r="CF124" s="161">
        <f t="shared" si="671"/>
        <v>0</v>
      </c>
      <c r="CG124" s="162" t="s">
        <v>51</v>
      </c>
      <c r="CH124" s="162" t="s">
        <v>51</v>
      </c>
      <c r="CI124" s="161">
        <f>'бюджет округа (района)'!AS125+'бюджеты поселений'!AS125</f>
        <v>0</v>
      </c>
      <c r="CJ124" s="161">
        <f>'бюджет округа (района)'!AS125</f>
        <v>0</v>
      </c>
      <c r="CK124" s="161">
        <f t="shared" si="648"/>
        <v>0</v>
      </c>
      <c r="CL124" s="161">
        <f t="shared" si="672"/>
        <v>0</v>
      </c>
      <c r="CM124" s="162" t="s">
        <v>51</v>
      </c>
      <c r="CN124" s="162" t="s">
        <v>51</v>
      </c>
      <c r="CO124" s="161">
        <f>'бюджет округа (района)'!AV125+'бюджеты поселений'!AV125</f>
        <v>0</v>
      </c>
      <c r="CP124" s="161">
        <f>'бюджет округа (района)'!AV125</f>
        <v>0</v>
      </c>
      <c r="CQ124" s="161">
        <f t="shared" si="650"/>
        <v>0</v>
      </c>
      <c r="CR124" s="161">
        <f t="shared" si="673"/>
        <v>0</v>
      </c>
      <c r="CS124" s="162" t="s">
        <v>51</v>
      </c>
      <c r="CT124" s="162" t="s">
        <v>51</v>
      </c>
      <c r="CU124" s="161">
        <f>'бюджет округа (района)'!AY125+'бюджеты поселений'!AY125</f>
        <v>0</v>
      </c>
      <c r="CV124" s="161">
        <f>'бюджет округа (района)'!AY125</f>
        <v>0</v>
      </c>
      <c r="CW124" s="161">
        <f t="shared" si="652"/>
        <v>0</v>
      </c>
      <c r="CX124" s="161">
        <f t="shared" si="674"/>
        <v>0</v>
      </c>
      <c r="CY124" s="162" t="s">
        <v>51</v>
      </c>
      <c r="CZ124" s="162" t="s">
        <v>51</v>
      </c>
      <c r="DA124" s="161">
        <f>'бюджет округа (района)'!BB125+'бюджеты поселений'!BB125</f>
        <v>0</v>
      </c>
      <c r="DB124" s="161">
        <f>'бюджет округа (района)'!BB125</f>
        <v>0</v>
      </c>
      <c r="DC124" s="161">
        <f t="shared" si="654"/>
        <v>0</v>
      </c>
      <c r="DD124" s="161">
        <f t="shared" si="675"/>
        <v>0</v>
      </c>
      <c r="DE124" s="162" t="s">
        <v>51</v>
      </c>
      <c r="DF124" s="162" t="s">
        <v>51</v>
      </c>
      <c r="DG124" s="161">
        <f>'бюджет округа (района)'!BE125+'бюджеты поселений'!BE125</f>
        <v>0</v>
      </c>
      <c r="DH124" s="161">
        <f>'бюджет округа (района)'!BE125</f>
        <v>0</v>
      </c>
      <c r="DI124" s="161">
        <f t="shared" si="656"/>
        <v>0</v>
      </c>
      <c r="DJ124" s="161">
        <f t="shared" si="676"/>
        <v>0</v>
      </c>
      <c r="DK124" s="162" t="s">
        <v>51</v>
      </c>
      <c r="DL124" s="162" t="s">
        <v>51</v>
      </c>
      <c r="DM124" s="161">
        <f>'бюджет округа (района)'!BH125+'бюджеты поселений'!BH125</f>
        <v>0</v>
      </c>
      <c r="DN124" s="161">
        <f>'бюджет округа (района)'!BH125</f>
        <v>0</v>
      </c>
      <c r="DO124" s="161">
        <f>'бюджет округа (района)'!BI125+'бюджеты поселений'!BI125</f>
        <v>0</v>
      </c>
      <c r="DP124" s="161">
        <f>'бюджет округа (района)'!BI125</f>
        <v>0</v>
      </c>
      <c r="DQ124" s="161">
        <f>'бюджет округа (района)'!BJ125+'бюджеты поселений'!BJ125</f>
        <v>0</v>
      </c>
      <c r="DR124" s="161">
        <f>'бюджет округа (района)'!BJ125</f>
        <v>0</v>
      </c>
      <c r="DS124" s="162" t="s">
        <v>51</v>
      </c>
      <c r="DT124" s="162" t="s">
        <v>51</v>
      </c>
      <c r="DU124" s="162">
        <f t="shared" si="616"/>
        <v>1</v>
      </c>
      <c r="DV124" s="162">
        <f t="shared" si="617"/>
        <v>1</v>
      </c>
      <c r="DW124" s="171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18.75" customHeight="1">
      <c r="A125" s="215" t="s">
        <v>76</v>
      </c>
      <c r="B125" s="216"/>
      <c r="C125" s="161">
        <f>'бюджет округа (района)'!C126+'бюджеты поселений'!C126</f>
        <v>0</v>
      </c>
      <c r="D125" s="161">
        <f>'бюджет округа (района)'!C126</f>
        <v>0</v>
      </c>
      <c r="E125" s="161">
        <f t="shared" si="658"/>
        <v>0</v>
      </c>
      <c r="F125" s="161">
        <f t="shared" si="658"/>
        <v>0</v>
      </c>
      <c r="G125" s="161">
        <f>'бюджет округа (района)'!E126+'бюджеты поселений'!E126</f>
        <v>0</v>
      </c>
      <c r="H125" s="161">
        <f>'бюджет округа (района)'!E126</f>
        <v>0</v>
      </c>
      <c r="I125" s="161">
        <f>'бюджет округа (района)'!F126+'бюджеты поселений'!F126</f>
        <v>0</v>
      </c>
      <c r="J125" s="161">
        <f>'бюджет округа (района)'!F126</f>
        <v>0</v>
      </c>
      <c r="K125" s="161">
        <f t="shared" si="618"/>
        <v>0</v>
      </c>
      <c r="L125" s="161">
        <f t="shared" si="619"/>
        <v>0</v>
      </c>
      <c r="M125" s="161">
        <f>'бюджет округа (района)'!H126+'бюджеты поселений'!H126</f>
        <v>0</v>
      </c>
      <c r="N125" s="161">
        <f>'бюджет округа (района)'!H126</f>
        <v>0</v>
      </c>
      <c r="O125" s="161">
        <f t="shared" si="620"/>
        <v>0</v>
      </c>
      <c r="P125" s="161">
        <f t="shared" si="621"/>
        <v>0</v>
      </c>
      <c r="Q125" s="161">
        <f>'бюджет округа (района)'!J126+'бюджеты поселений'!J126</f>
        <v>0</v>
      </c>
      <c r="R125" s="161">
        <f>'бюджет округа (района)'!J126</f>
        <v>0</v>
      </c>
      <c r="S125" s="161">
        <f t="shared" si="622"/>
        <v>0</v>
      </c>
      <c r="T125" s="161">
        <f t="shared" si="623"/>
        <v>0</v>
      </c>
      <c r="U125" s="161">
        <f>'бюджет округа (района)'!L126+'бюджеты поселений'!L126</f>
        <v>0</v>
      </c>
      <c r="V125" s="161">
        <f>'бюджет округа (района)'!L126</f>
        <v>0</v>
      </c>
      <c r="W125" s="161">
        <f t="shared" si="624"/>
        <v>0</v>
      </c>
      <c r="X125" s="161">
        <f t="shared" si="625"/>
        <v>0</v>
      </c>
      <c r="Y125" s="161">
        <f>'бюджет округа (района)'!N126+'бюджеты поселений'!N126</f>
        <v>0</v>
      </c>
      <c r="Z125" s="161">
        <f>'бюджет округа (района)'!N126</f>
        <v>0</v>
      </c>
      <c r="AA125" s="161">
        <f t="shared" si="626"/>
        <v>0</v>
      </c>
      <c r="AB125" s="161">
        <f t="shared" si="627"/>
        <v>0</v>
      </c>
      <c r="AC125" s="161">
        <f>'бюджет округа (района)'!P126+'бюджеты поселений'!P126</f>
        <v>0</v>
      </c>
      <c r="AD125" s="161">
        <f>'бюджет округа (района)'!P126</f>
        <v>0</v>
      </c>
      <c r="AE125" s="161">
        <f t="shared" si="628"/>
        <v>0</v>
      </c>
      <c r="AF125" s="161">
        <f t="shared" si="629"/>
        <v>0</v>
      </c>
      <c r="AG125" s="161">
        <f>'бюджет округа (района)'!R126+'бюджеты поселений'!R126</f>
        <v>0</v>
      </c>
      <c r="AH125" s="161">
        <f>'бюджет округа (района)'!R126</f>
        <v>0</v>
      </c>
      <c r="AI125" s="161">
        <f t="shared" si="630"/>
        <v>0</v>
      </c>
      <c r="AJ125" s="161">
        <f t="shared" si="631"/>
        <v>0</v>
      </c>
      <c r="AK125" s="161">
        <f>'бюджет округа (района)'!T126+'бюджеты поселений'!T126</f>
        <v>0</v>
      </c>
      <c r="AL125" s="161">
        <f>'бюджет округа (района)'!T126</f>
        <v>0</v>
      </c>
      <c r="AM125" s="161">
        <f t="shared" si="632"/>
        <v>0</v>
      </c>
      <c r="AN125" s="161">
        <f t="shared" si="633"/>
        <v>0</v>
      </c>
      <c r="AO125" s="161">
        <f>'бюджет округа (района)'!V126+'бюджеты поселений'!V126</f>
        <v>0</v>
      </c>
      <c r="AP125" s="161">
        <f>'бюджет округа (района)'!V126</f>
        <v>0</v>
      </c>
      <c r="AQ125" s="161">
        <f t="shared" si="634"/>
        <v>0</v>
      </c>
      <c r="AR125" s="161">
        <f t="shared" si="635"/>
        <v>0</v>
      </c>
      <c r="AS125" s="161">
        <f>'бюджет округа (района)'!X126+'бюджеты поселений'!X126</f>
        <v>0</v>
      </c>
      <c r="AT125" s="161">
        <f>'бюджет округа (района)'!X126</f>
        <v>0</v>
      </c>
      <c r="AU125" s="161">
        <f t="shared" si="636"/>
        <v>0</v>
      </c>
      <c r="AV125" s="161">
        <f t="shared" si="637"/>
        <v>0</v>
      </c>
      <c r="AW125" s="161">
        <f>'бюджет округа (района)'!Z126+'бюджеты поселений'!Z126</f>
        <v>0</v>
      </c>
      <c r="AX125" s="161">
        <f>'бюджет округа (района)'!Z126</f>
        <v>0</v>
      </c>
      <c r="AY125" s="161" t="e">
        <f>'бюджет округа (района)'!AA126+'бюджеты поселений'!AA126</f>
        <v>#VALUE!</v>
      </c>
      <c r="AZ125" s="161" t="str">
        <f>'бюджет округа (района)'!AA126</f>
        <v>x</v>
      </c>
      <c r="BA125" s="162" t="s">
        <v>51</v>
      </c>
      <c r="BB125" s="162" t="s">
        <v>51</v>
      </c>
      <c r="BC125" s="161">
        <f>'бюджет округа (района)'!AC126+'бюджеты поселений'!AC126</f>
        <v>0</v>
      </c>
      <c r="BD125" s="161">
        <f>'бюджет округа (района)'!AC126</f>
        <v>0</v>
      </c>
      <c r="BE125" s="161">
        <f>'бюджет округа (района)'!AD126+'бюджеты поселений'!AD126</f>
        <v>0</v>
      </c>
      <c r="BF125" s="161">
        <f>'бюджет округа (района)'!AD126</f>
        <v>0</v>
      </c>
      <c r="BG125" s="161">
        <f t="shared" si="638"/>
        <v>0</v>
      </c>
      <c r="BH125" s="161">
        <f t="shared" si="639"/>
        <v>0</v>
      </c>
      <c r="BI125" s="162" t="s">
        <v>51</v>
      </c>
      <c r="BJ125" s="162" t="s">
        <v>51</v>
      </c>
      <c r="BK125" s="161">
        <f>'бюджет округа (района)'!AG126+'бюджеты поселений'!AG126</f>
        <v>0</v>
      </c>
      <c r="BL125" s="161">
        <f>'бюджет округа (района)'!AG126</f>
        <v>0</v>
      </c>
      <c r="BM125" s="161">
        <f t="shared" si="640"/>
        <v>0</v>
      </c>
      <c r="BN125" s="161">
        <f t="shared" si="668"/>
        <v>0</v>
      </c>
      <c r="BO125" s="162" t="s">
        <v>51</v>
      </c>
      <c r="BP125" s="162" t="s">
        <v>51</v>
      </c>
      <c r="BQ125" s="161">
        <f>'бюджет округа (района)'!AJ126+'бюджеты поселений'!AJ126</f>
        <v>0</v>
      </c>
      <c r="BR125" s="161">
        <f>'бюджет округа (района)'!AJ126</f>
        <v>0</v>
      </c>
      <c r="BS125" s="161">
        <f t="shared" si="642"/>
        <v>0</v>
      </c>
      <c r="BT125" s="161">
        <f t="shared" si="669"/>
        <v>0</v>
      </c>
      <c r="BU125" s="162" t="s">
        <v>51</v>
      </c>
      <c r="BV125" s="162" t="s">
        <v>51</v>
      </c>
      <c r="BW125" s="161">
        <f>'бюджет округа (района)'!AM126+'бюджеты поселений'!AM126</f>
        <v>0</v>
      </c>
      <c r="BX125" s="161">
        <f>'бюджет округа (района)'!AM126</f>
        <v>0</v>
      </c>
      <c r="BY125" s="161">
        <f t="shared" si="644"/>
        <v>0</v>
      </c>
      <c r="BZ125" s="161">
        <f t="shared" si="670"/>
        <v>0</v>
      </c>
      <c r="CA125" s="162" t="s">
        <v>51</v>
      </c>
      <c r="CB125" s="162" t="s">
        <v>51</v>
      </c>
      <c r="CC125" s="161">
        <f>'бюджет округа (района)'!AP126+'бюджеты поселений'!AP126</f>
        <v>0</v>
      </c>
      <c r="CD125" s="161">
        <f>'бюджет округа (района)'!AP126</f>
        <v>0</v>
      </c>
      <c r="CE125" s="161">
        <f t="shared" si="646"/>
        <v>0</v>
      </c>
      <c r="CF125" s="161">
        <f t="shared" si="671"/>
        <v>0</v>
      </c>
      <c r="CG125" s="162" t="s">
        <v>51</v>
      </c>
      <c r="CH125" s="162" t="s">
        <v>51</v>
      </c>
      <c r="CI125" s="161">
        <f>'бюджет округа (района)'!AS126+'бюджеты поселений'!AS126</f>
        <v>0</v>
      </c>
      <c r="CJ125" s="161">
        <f>'бюджет округа (района)'!AS126</f>
        <v>0</v>
      </c>
      <c r="CK125" s="161">
        <f t="shared" si="648"/>
        <v>0</v>
      </c>
      <c r="CL125" s="161">
        <f t="shared" si="672"/>
        <v>0</v>
      </c>
      <c r="CM125" s="162" t="s">
        <v>51</v>
      </c>
      <c r="CN125" s="162" t="s">
        <v>51</v>
      </c>
      <c r="CO125" s="161">
        <f>'бюджет округа (района)'!AV126+'бюджеты поселений'!AV126</f>
        <v>0</v>
      </c>
      <c r="CP125" s="161">
        <f>'бюджет округа (района)'!AV126</f>
        <v>0</v>
      </c>
      <c r="CQ125" s="161">
        <f t="shared" si="650"/>
        <v>0</v>
      </c>
      <c r="CR125" s="161">
        <f t="shared" si="673"/>
        <v>0</v>
      </c>
      <c r="CS125" s="162" t="s">
        <v>51</v>
      </c>
      <c r="CT125" s="162" t="s">
        <v>51</v>
      </c>
      <c r="CU125" s="161">
        <f>'бюджет округа (района)'!AY126+'бюджеты поселений'!AY126</f>
        <v>0</v>
      </c>
      <c r="CV125" s="161">
        <f>'бюджет округа (района)'!AY126</f>
        <v>0</v>
      </c>
      <c r="CW125" s="161">
        <f t="shared" si="652"/>
        <v>0</v>
      </c>
      <c r="CX125" s="161">
        <f t="shared" si="674"/>
        <v>0</v>
      </c>
      <c r="CY125" s="162" t="s">
        <v>51</v>
      </c>
      <c r="CZ125" s="162" t="s">
        <v>51</v>
      </c>
      <c r="DA125" s="161">
        <f>'бюджет округа (района)'!BB126+'бюджеты поселений'!BB126</f>
        <v>0</v>
      </c>
      <c r="DB125" s="161">
        <f>'бюджет округа (района)'!BB126</f>
        <v>0</v>
      </c>
      <c r="DC125" s="161">
        <f t="shared" si="654"/>
        <v>0</v>
      </c>
      <c r="DD125" s="161">
        <f t="shared" si="675"/>
        <v>0</v>
      </c>
      <c r="DE125" s="162" t="s">
        <v>51</v>
      </c>
      <c r="DF125" s="162" t="s">
        <v>51</v>
      </c>
      <c r="DG125" s="161">
        <f>'бюджет округа (района)'!BE126+'бюджеты поселений'!BE126</f>
        <v>0</v>
      </c>
      <c r="DH125" s="161">
        <f>'бюджет округа (района)'!BE126</f>
        <v>0</v>
      </c>
      <c r="DI125" s="161">
        <f t="shared" si="656"/>
        <v>0</v>
      </c>
      <c r="DJ125" s="161">
        <f t="shared" si="676"/>
        <v>0</v>
      </c>
      <c r="DK125" s="162" t="s">
        <v>51</v>
      </c>
      <c r="DL125" s="162" t="s">
        <v>51</v>
      </c>
      <c r="DM125" s="161">
        <f>'бюджет округа (района)'!BH126+'бюджеты поселений'!BH126</f>
        <v>0</v>
      </c>
      <c r="DN125" s="161">
        <f>'бюджет округа (района)'!BH126</f>
        <v>0</v>
      </c>
      <c r="DO125" s="161">
        <f>'бюджет округа (района)'!BI126+'бюджеты поселений'!BI126</f>
        <v>0</v>
      </c>
      <c r="DP125" s="161">
        <f>'бюджет округа (района)'!BI126</f>
        <v>0</v>
      </c>
      <c r="DQ125" s="161">
        <f>'бюджет округа (района)'!BJ126+'бюджеты поселений'!BJ126</f>
        <v>0</v>
      </c>
      <c r="DR125" s="161">
        <f>'бюджет округа (района)'!BJ126</f>
        <v>0</v>
      </c>
      <c r="DS125" s="162" t="s">
        <v>51</v>
      </c>
      <c r="DT125" s="162" t="s">
        <v>51</v>
      </c>
      <c r="DU125" s="162">
        <f t="shared" si="616"/>
        <v>1</v>
      </c>
      <c r="DV125" s="162">
        <f t="shared" si="617"/>
        <v>1</v>
      </c>
      <c r="DW125" s="171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21.75" customHeight="1">
      <c r="A126" s="215" t="s">
        <v>129</v>
      </c>
      <c r="B126" s="216"/>
      <c r="C126" s="138">
        <f>'бюджет округа (района)'!C127+'бюджеты поселений'!C127</f>
        <v>0</v>
      </c>
      <c r="D126" s="138">
        <f>'бюджет округа (района)'!C127</f>
        <v>0</v>
      </c>
      <c r="E126" s="138">
        <f t="shared" si="658"/>
        <v>0</v>
      </c>
      <c r="F126" s="138">
        <f t="shared" si="658"/>
        <v>0</v>
      </c>
      <c r="G126" s="138">
        <f>'бюджет округа (района)'!E127+'бюджеты поселений'!E127</f>
        <v>0</v>
      </c>
      <c r="H126" s="138">
        <f>'бюджет округа (района)'!E127</f>
        <v>0</v>
      </c>
      <c r="I126" s="138">
        <f>'бюджет округа (района)'!F127+'бюджеты поселений'!F127</f>
        <v>0</v>
      </c>
      <c r="J126" s="138">
        <f>'бюджет округа (района)'!F127</f>
        <v>0</v>
      </c>
      <c r="K126" s="138">
        <f t="shared" si="618"/>
        <v>0</v>
      </c>
      <c r="L126" s="138">
        <f t="shared" si="619"/>
        <v>0</v>
      </c>
      <c r="M126" s="138">
        <f>'бюджет округа (района)'!H127+'бюджеты поселений'!H127</f>
        <v>0</v>
      </c>
      <c r="N126" s="138">
        <f>'бюджет округа (района)'!H127</f>
        <v>0</v>
      </c>
      <c r="O126" s="138">
        <f t="shared" si="620"/>
        <v>0</v>
      </c>
      <c r="P126" s="138">
        <f t="shared" si="621"/>
        <v>0</v>
      </c>
      <c r="Q126" s="138">
        <f>'бюджет округа (района)'!J127+'бюджеты поселений'!J127</f>
        <v>0</v>
      </c>
      <c r="R126" s="138">
        <f>'бюджет округа (района)'!J127</f>
        <v>0</v>
      </c>
      <c r="S126" s="138">
        <f t="shared" si="622"/>
        <v>0</v>
      </c>
      <c r="T126" s="138">
        <f t="shared" si="623"/>
        <v>0</v>
      </c>
      <c r="U126" s="138">
        <f>'бюджет округа (района)'!L127+'бюджеты поселений'!L127</f>
        <v>0</v>
      </c>
      <c r="V126" s="138">
        <f>'бюджет округа (района)'!L127</f>
        <v>0</v>
      </c>
      <c r="W126" s="138">
        <f t="shared" si="624"/>
        <v>0</v>
      </c>
      <c r="X126" s="138">
        <f t="shared" si="625"/>
        <v>0</v>
      </c>
      <c r="Y126" s="138">
        <f>'бюджет округа (района)'!N127+'бюджеты поселений'!N127</f>
        <v>0</v>
      </c>
      <c r="Z126" s="138">
        <f>'бюджет округа (района)'!N127</f>
        <v>0</v>
      </c>
      <c r="AA126" s="138">
        <f t="shared" si="626"/>
        <v>0</v>
      </c>
      <c r="AB126" s="138">
        <f t="shared" si="627"/>
        <v>0</v>
      </c>
      <c r="AC126" s="138">
        <f>'бюджет округа (района)'!P127+'бюджеты поселений'!P127</f>
        <v>0</v>
      </c>
      <c r="AD126" s="138">
        <f>'бюджет округа (района)'!P127</f>
        <v>0</v>
      </c>
      <c r="AE126" s="138">
        <f t="shared" si="628"/>
        <v>0</v>
      </c>
      <c r="AF126" s="138">
        <f t="shared" si="629"/>
        <v>0</v>
      </c>
      <c r="AG126" s="138">
        <f>'бюджет округа (района)'!R127+'бюджеты поселений'!R127</f>
        <v>0</v>
      </c>
      <c r="AH126" s="138">
        <f>'бюджет округа (района)'!R127</f>
        <v>0</v>
      </c>
      <c r="AI126" s="138">
        <f t="shared" si="630"/>
        <v>0</v>
      </c>
      <c r="AJ126" s="138">
        <f t="shared" si="631"/>
        <v>0</v>
      </c>
      <c r="AK126" s="138">
        <f>'бюджет округа (района)'!T127+'бюджеты поселений'!T127</f>
        <v>0</v>
      </c>
      <c r="AL126" s="138">
        <f>'бюджет округа (района)'!T127</f>
        <v>0</v>
      </c>
      <c r="AM126" s="138">
        <f t="shared" si="632"/>
        <v>0</v>
      </c>
      <c r="AN126" s="138">
        <f t="shared" si="633"/>
        <v>0</v>
      </c>
      <c r="AO126" s="138">
        <f>'бюджет округа (района)'!V127+'бюджеты поселений'!V127</f>
        <v>0</v>
      </c>
      <c r="AP126" s="138">
        <f>'бюджет округа (района)'!V127</f>
        <v>0</v>
      </c>
      <c r="AQ126" s="138">
        <f t="shared" si="634"/>
        <v>0</v>
      </c>
      <c r="AR126" s="138">
        <f t="shared" si="635"/>
        <v>0</v>
      </c>
      <c r="AS126" s="138">
        <f>'бюджет округа (района)'!X127+'бюджеты поселений'!X127</f>
        <v>0</v>
      </c>
      <c r="AT126" s="138">
        <f>'бюджет округа (района)'!X127</f>
        <v>0</v>
      </c>
      <c r="AU126" s="138">
        <f t="shared" si="636"/>
        <v>0</v>
      </c>
      <c r="AV126" s="138">
        <f t="shared" si="637"/>
        <v>0</v>
      </c>
      <c r="AW126" s="138">
        <f>'бюджет округа (района)'!Z127+'бюджеты поселений'!Z127</f>
        <v>0</v>
      </c>
      <c r="AX126" s="138">
        <f>'бюджет округа (района)'!Z127</f>
        <v>0</v>
      </c>
      <c r="AY126" s="138" t="e">
        <f>'бюджет округа (района)'!AA127+'бюджеты поселений'!AA127</f>
        <v>#VALUE!</v>
      </c>
      <c r="AZ126" s="138" t="str">
        <f>'бюджет округа (района)'!AA127</f>
        <v>x</v>
      </c>
      <c r="BA126" s="162" t="s">
        <v>51</v>
      </c>
      <c r="BB126" s="162" t="s">
        <v>51</v>
      </c>
      <c r="BC126" s="138">
        <f>'бюджет округа (района)'!AC127+'бюджеты поселений'!AC127</f>
        <v>0</v>
      </c>
      <c r="BD126" s="138">
        <f>'бюджет округа (района)'!AC127</f>
        <v>0</v>
      </c>
      <c r="BE126" s="138">
        <f>'бюджет округа (района)'!AD127+'бюджеты поселений'!AD127</f>
        <v>0</v>
      </c>
      <c r="BF126" s="138">
        <f>'бюджет округа (района)'!AD127</f>
        <v>0</v>
      </c>
      <c r="BG126" s="138">
        <f t="shared" si="638"/>
        <v>0</v>
      </c>
      <c r="BH126" s="138">
        <f t="shared" si="639"/>
        <v>0</v>
      </c>
      <c r="BI126" s="162" t="s">
        <v>51</v>
      </c>
      <c r="BJ126" s="162" t="s">
        <v>51</v>
      </c>
      <c r="BK126" s="138">
        <f>'бюджет округа (района)'!AG127+'бюджеты поселений'!AG127</f>
        <v>0</v>
      </c>
      <c r="BL126" s="138">
        <f>'бюджет округа (района)'!AG127</f>
        <v>0</v>
      </c>
      <c r="BM126" s="138">
        <f t="shared" si="640"/>
        <v>0</v>
      </c>
      <c r="BN126" s="138">
        <f t="shared" si="668"/>
        <v>0</v>
      </c>
      <c r="BO126" s="162" t="s">
        <v>51</v>
      </c>
      <c r="BP126" s="162" t="s">
        <v>51</v>
      </c>
      <c r="BQ126" s="138">
        <f>'бюджет округа (района)'!AJ127+'бюджеты поселений'!AJ127</f>
        <v>0</v>
      </c>
      <c r="BR126" s="138">
        <f>'бюджет округа (района)'!AJ127</f>
        <v>0</v>
      </c>
      <c r="BS126" s="138">
        <f t="shared" si="642"/>
        <v>0</v>
      </c>
      <c r="BT126" s="138">
        <f t="shared" si="669"/>
        <v>0</v>
      </c>
      <c r="BU126" s="162" t="s">
        <v>51</v>
      </c>
      <c r="BV126" s="162" t="s">
        <v>51</v>
      </c>
      <c r="BW126" s="138">
        <f>'бюджет округа (района)'!AM127+'бюджеты поселений'!AM127</f>
        <v>0</v>
      </c>
      <c r="BX126" s="138">
        <f>'бюджет округа (района)'!AM127</f>
        <v>0</v>
      </c>
      <c r="BY126" s="138">
        <f t="shared" si="644"/>
        <v>0</v>
      </c>
      <c r="BZ126" s="138">
        <f t="shared" si="670"/>
        <v>0</v>
      </c>
      <c r="CA126" s="162" t="s">
        <v>51</v>
      </c>
      <c r="CB126" s="162" t="s">
        <v>51</v>
      </c>
      <c r="CC126" s="138">
        <f>'бюджет округа (района)'!AP127+'бюджеты поселений'!AP127</f>
        <v>0</v>
      </c>
      <c r="CD126" s="138">
        <f>'бюджет округа (района)'!AP127</f>
        <v>0</v>
      </c>
      <c r="CE126" s="138">
        <f t="shared" si="646"/>
        <v>0</v>
      </c>
      <c r="CF126" s="138">
        <f t="shared" si="671"/>
        <v>0</v>
      </c>
      <c r="CG126" s="162" t="s">
        <v>51</v>
      </c>
      <c r="CH126" s="162" t="s">
        <v>51</v>
      </c>
      <c r="CI126" s="138">
        <f>'бюджет округа (района)'!AS127+'бюджеты поселений'!AS127</f>
        <v>0</v>
      </c>
      <c r="CJ126" s="138">
        <f>'бюджет округа (района)'!AS127</f>
        <v>0</v>
      </c>
      <c r="CK126" s="138">
        <f t="shared" si="648"/>
        <v>0</v>
      </c>
      <c r="CL126" s="138">
        <f t="shared" si="672"/>
        <v>0</v>
      </c>
      <c r="CM126" s="162" t="s">
        <v>51</v>
      </c>
      <c r="CN126" s="162" t="s">
        <v>51</v>
      </c>
      <c r="CO126" s="138">
        <f>'бюджет округа (района)'!AV127+'бюджеты поселений'!AV127</f>
        <v>0</v>
      </c>
      <c r="CP126" s="138">
        <f>'бюджет округа (района)'!AV127</f>
        <v>0</v>
      </c>
      <c r="CQ126" s="138">
        <f t="shared" si="650"/>
        <v>0</v>
      </c>
      <c r="CR126" s="138">
        <f t="shared" si="673"/>
        <v>0</v>
      </c>
      <c r="CS126" s="162" t="s">
        <v>51</v>
      </c>
      <c r="CT126" s="162" t="s">
        <v>51</v>
      </c>
      <c r="CU126" s="138">
        <f>'бюджет округа (района)'!AY127+'бюджеты поселений'!AY127</f>
        <v>0</v>
      </c>
      <c r="CV126" s="138">
        <f>'бюджет округа (района)'!AY127</f>
        <v>0</v>
      </c>
      <c r="CW126" s="138">
        <f t="shared" si="652"/>
        <v>0</v>
      </c>
      <c r="CX126" s="138">
        <f t="shared" si="674"/>
        <v>0</v>
      </c>
      <c r="CY126" s="162" t="s">
        <v>51</v>
      </c>
      <c r="CZ126" s="162" t="s">
        <v>51</v>
      </c>
      <c r="DA126" s="138">
        <f>'бюджет округа (района)'!BB127+'бюджеты поселений'!BB127</f>
        <v>0</v>
      </c>
      <c r="DB126" s="138">
        <f>'бюджет округа (района)'!BB127</f>
        <v>0</v>
      </c>
      <c r="DC126" s="138">
        <f t="shared" si="654"/>
        <v>0</v>
      </c>
      <c r="DD126" s="138">
        <f t="shared" si="675"/>
        <v>0</v>
      </c>
      <c r="DE126" s="162" t="s">
        <v>51</v>
      </c>
      <c r="DF126" s="162" t="s">
        <v>51</v>
      </c>
      <c r="DG126" s="138">
        <f>'бюджет округа (района)'!BE127+'бюджеты поселений'!BE127</f>
        <v>0</v>
      </c>
      <c r="DH126" s="138">
        <f>'бюджет округа (района)'!BE127</f>
        <v>0</v>
      </c>
      <c r="DI126" s="138">
        <f t="shared" si="656"/>
        <v>0</v>
      </c>
      <c r="DJ126" s="138">
        <f t="shared" si="676"/>
        <v>0</v>
      </c>
      <c r="DK126" s="162" t="s">
        <v>51</v>
      </c>
      <c r="DL126" s="162" t="s">
        <v>51</v>
      </c>
      <c r="DM126" s="138">
        <f>'бюджет округа (района)'!BH127+'бюджеты поселений'!BH127</f>
        <v>0</v>
      </c>
      <c r="DN126" s="138">
        <f>'бюджет округа (района)'!BH127</f>
        <v>0</v>
      </c>
      <c r="DO126" s="138">
        <f>'бюджет округа (района)'!BI127+'бюджеты поселений'!BI127</f>
        <v>0</v>
      </c>
      <c r="DP126" s="138">
        <f>'бюджет округа (района)'!BI127</f>
        <v>0</v>
      </c>
      <c r="DQ126" s="138">
        <f>'бюджет округа (района)'!BJ127+'бюджеты поселений'!BJ127</f>
        <v>0</v>
      </c>
      <c r="DR126" s="138">
        <f>'бюджет округа (района)'!BJ127</f>
        <v>0</v>
      </c>
      <c r="DS126" s="162" t="s">
        <v>51</v>
      </c>
      <c r="DT126" s="162" t="s">
        <v>51</v>
      </c>
      <c r="DU126" s="162">
        <f t="shared" si="616"/>
        <v>1</v>
      </c>
      <c r="DV126" s="162">
        <f t="shared" si="617"/>
        <v>1</v>
      </c>
      <c r="DW126" s="171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87" customFormat="1" ht="35.25" customHeight="1">
      <c r="A127" s="217" t="s">
        <v>135</v>
      </c>
      <c r="B127" s="218"/>
      <c r="C127" s="130">
        <f>'бюджет округа (района)'!C128+'бюджеты поселений'!C128</f>
        <v>0</v>
      </c>
      <c r="D127" s="130">
        <f>'бюджет округа (района)'!C128</f>
        <v>0</v>
      </c>
      <c r="E127" s="130">
        <f t="shared" si="658"/>
        <v>0</v>
      </c>
      <c r="F127" s="130">
        <f t="shared" si="658"/>
        <v>0</v>
      </c>
      <c r="G127" s="130">
        <f>'бюджет округа (района)'!E128+'бюджеты поселений'!E128</f>
        <v>0</v>
      </c>
      <c r="H127" s="130">
        <f>'бюджет округа (района)'!E128</f>
        <v>0</v>
      </c>
      <c r="I127" s="130">
        <f>'бюджет округа (района)'!F128+'бюджеты поселений'!F128</f>
        <v>0</v>
      </c>
      <c r="J127" s="130">
        <f>'бюджет округа (района)'!F128</f>
        <v>0</v>
      </c>
      <c r="K127" s="130">
        <f t="shared" si="618"/>
        <v>0</v>
      </c>
      <c r="L127" s="130">
        <f t="shared" si="619"/>
        <v>0</v>
      </c>
      <c r="M127" s="130">
        <f>'бюджет округа (района)'!H128+'бюджеты поселений'!H128</f>
        <v>0</v>
      </c>
      <c r="N127" s="130">
        <f>'бюджет округа (района)'!H128</f>
        <v>0</v>
      </c>
      <c r="O127" s="130">
        <f t="shared" si="620"/>
        <v>0</v>
      </c>
      <c r="P127" s="130">
        <f t="shared" si="621"/>
        <v>0</v>
      </c>
      <c r="Q127" s="130">
        <f>'бюджет округа (района)'!J128+'бюджеты поселений'!J128</f>
        <v>0</v>
      </c>
      <c r="R127" s="130">
        <f>'бюджет округа (района)'!J128</f>
        <v>0</v>
      </c>
      <c r="S127" s="130">
        <f t="shared" si="622"/>
        <v>0</v>
      </c>
      <c r="T127" s="130">
        <f t="shared" si="623"/>
        <v>0</v>
      </c>
      <c r="U127" s="130">
        <f>'бюджет округа (района)'!L128+'бюджеты поселений'!L128</f>
        <v>0</v>
      </c>
      <c r="V127" s="130">
        <f>'бюджет округа (района)'!L128</f>
        <v>0</v>
      </c>
      <c r="W127" s="130">
        <f t="shared" si="624"/>
        <v>0</v>
      </c>
      <c r="X127" s="130">
        <f t="shared" si="625"/>
        <v>0</v>
      </c>
      <c r="Y127" s="130">
        <f>'бюджет округа (района)'!N128+'бюджеты поселений'!N128</f>
        <v>0</v>
      </c>
      <c r="Z127" s="130">
        <f>'бюджет округа (района)'!N128</f>
        <v>0</v>
      </c>
      <c r="AA127" s="130">
        <f t="shared" si="626"/>
        <v>0</v>
      </c>
      <c r="AB127" s="130">
        <f t="shared" si="627"/>
        <v>0</v>
      </c>
      <c r="AC127" s="130">
        <f>'бюджет округа (района)'!P128+'бюджеты поселений'!P128</f>
        <v>0</v>
      </c>
      <c r="AD127" s="130">
        <f>'бюджет округа (района)'!P128</f>
        <v>0</v>
      </c>
      <c r="AE127" s="130">
        <f t="shared" si="628"/>
        <v>0</v>
      </c>
      <c r="AF127" s="130">
        <f t="shared" si="629"/>
        <v>0</v>
      </c>
      <c r="AG127" s="130">
        <f>'бюджет округа (района)'!R128+'бюджеты поселений'!R128</f>
        <v>0</v>
      </c>
      <c r="AH127" s="130">
        <f>'бюджет округа (района)'!R128</f>
        <v>0</v>
      </c>
      <c r="AI127" s="130">
        <f t="shared" si="630"/>
        <v>0</v>
      </c>
      <c r="AJ127" s="130">
        <f t="shared" si="631"/>
        <v>0</v>
      </c>
      <c r="AK127" s="130">
        <f>'бюджет округа (района)'!T128+'бюджеты поселений'!T128</f>
        <v>0</v>
      </c>
      <c r="AL127" s="130">
        <f>'бюджет округа (района)'!T128</f>
        <v>0</v>
      </c>
      <c r="AM127" s="130">
        <f t="shared" si="632"/>
        <v>0</v>
      </c>
      <c r="AN127" s="130">
        <f t="shared" si="633"/>
        <v>0</v>
      </c>
      <c r="AO127" s="130">
        <f>'бюджет округа (района)'!V128+'бюджеты поселений'!V128</f>
        <v>0</v>
      </c>
      <c r="AP127" s="130">
        <f>'бюджет округа (района)'!V128</f>
        <v>0</v>
      </c>
      <c r="AQ127" s="130">
        <f t="shared" si="634"/>
        <v>0</v>
      </c>
      <c r="AR127" s="130">
        <f t="shared" si="635"/>
        <v>0</v>
      </c>
      <c r="AS127" s="130">
        <f>'бюджет округа (района)'!X128+'бюджеты поселений'!X128</f>
        <v>0</v>
      </c>
      <c r="AT127" s="130">
        <f>'бюджет округа (района)'!X128</f>
        <v>0</v>
      </c>
      <c r="AU127" s="130">
        <f t="shared" si="636"/>
        <v>0</v>
      </c>
      <c r="AV127" s="130">
        <f t="shared" si="637"/>
        <v>0</v>
      </c>
      <c r="AW127" s="130">
        <f>'бюджет округа (района)'!Z128+'бюджеты поселений'!Z128</f>
        <v>0</v>
      </c>
      <c r="AX127" s="130">
        <f>'бюджет округа (района)'!Z128</f>
        <v>0</v>
      </c>
      <c r="AY127" s="130" t="e">
        <f>'бюджет округа (района)'!AA128+'бюджеты поселений'!AA128</f>
        <v>#VALUE!</v>
      </c>
      <c r="AZ127" s="130" t="str">
        <f>'бюджет округа (района)'!AA128</f>
        <v>x</v>
      </c>
      <c r="BA127" s="143" t="s">
        <v>51</v>
      </c>
      <c r="BB127" s="143" t="s">
        <v>51</v>
      </c>
      <c r="BC127" s="130">
        <f>'бюджет округа (района)'!AC128+'бюджеты поселений'!AC128</f>
        <v>0</v>
      </c>
      <c r="BD127" s="130">
        <f>'бюджет округа (района)'!AC128</f>
        <v>0</v>
      </c>
      <c r="BE127" s="130">
        <f>'бюджет округа (района)'!AD128+'бюджеты поселений'!AD128</f>
        <v>0</v>
      </c>
      <c r="BF127" s="130">
        <f>'бюджет округа (района)'!AD128</f>
        <v>0</v>
      </c>
      <c r="BG127" s="130">
        <f t="shared" si="638"/>
        <v>0</v>
      </c>
      <c r="BH127" s="130">
        <f t="shared" si="639"/>
        <v>0</v>
      </c>
      <c r="BI127" s="143" t="s">
        <v>51</v>
      </c>
      <c r="BJ127" s="143" t="s">
        <v>51</v>
      </c>
      <c r="BK127" s="130">
        <f>'бюджет округа (района)'!AG128+'бюджеты поселений'!AG128</f>
        <v>0</v>
      </c>
      <c r="BL127" s="130">
        <f>'бюджет округа (района)'!AG128</f>
        <v>0</v>
      </c>
      <c r="BM127" s="130">
        <f t="shared" si="640"/>
        <v>0</v>
      </c>
      <c r="BN127" s="130">
        <f t="shared" si="668"/>
        <v>0</v>
      </c>
      <c r="BO127" s="143" t="s">
        <v>51</v>
      </c>
      <c r="BP127" s="143" t="s">
        <v>51</v>
      </c>
      <c r="BQ127" s="130">
        <f>'бюджет округа (района)'!AJ128+'бюджеты поселений'!AJ128</f>
        <v>0</v>
      </c>
      <c r="BR127" s="130">
        <f>'бюджет округа (района)'!AJ128</f>
        <v>0</v>
      </c>
      <c r="BS127" s="130">
        <f t="shared" si="642"/>
        <v>0</v>
      </c>
      <c r="BT127" s="130">
        <f t="shared" si="669"/>
        <v>0</v>
      </c>
      <c r="BU127" s="143" t="s">
        <v>51</v>
      </c>
      <c r="BV127" s="143" t="s">
        <v>51</v>
      </c>
      <c r="BW127" s="130">
        <f>'бюджет округа (района)'!AM128+'бюджеты поселений'!AM128</f>
        <v>0</v>
      </c>
      <c r="BX127" s="130">
        <f>'бюджет округа (района)'!AM128</f>
        <v>0</v>
      </c>
      <c r="BY127" s="130">
        <f t="shared" si="644"/>
        <v>0</v>
      </c>
      <c r="BZ127" s="130">
        <f t="shared" si="670"/>
        <v>0</v>
      </c>
      <c r="CA127" s="143" t="s">
        <v>51</v>
      </c>
      <c r="CB127" s="143" t="s">
        <v>51</v>
      </c>
      <c r="CC127" s="130">
        <f>'бюджет округа (района)'!AP128+'бюджеты поселений'!AP128</f>
        <v>0</v>
      </c>
      <c r="CD127" s="130">
        <f>'бюджет округа (района)'!AP128</f>
        <v>0</v>
      </c>
      <c r="CE127" s="130">
        <f t="shared" si="646"/>
        <v>0</v>
      </c>
      <c r="CF127" s="130">
        <f t="shared" si="671"/>
        <v>0</v>
      </c>
      <c r="CG127" s="143" t="s">
        <v>51</v>
      </c>
      <c r="CH127" s="143" t="s">
        <v>51</v>
      </c>
      <c r="CI127" s="130">
        <f>'бюджет округа (района)'!AS128+'бюджеты поселений'!AS128</f>
        <v>0</v>
      </c>
      <c r="CJ127" s="130">
        <f>'бюджет округа (района)'!AS128</f>
        <v>0</v>
      </c>
      <c r="CK127" s="130">
        <f t="shared" si="648"/>
        <v>0</v>
      </c>
      <c r="CL127" s="130">
        <f t="shared" si="672"/>
        <v>0</v>
      </c>
      <c r="CM127" s="143" t="s">
        <v>51</v>
      </c>
      <c r="CN127" s="143" t="s">
        <v>51</v>
      </c>
      <c r="CO127" s="130">
        <f>'бюджет округа (района)'!AV128+'бюджеты поселений'!AV128</f>
        <v>0</v>
      </c>
      <c r="CP127" s="130">
        <f>'бюджет округа (района)'!AV128</f>
        <v>0</v>
      </c>
      <c r="CQ127" s="130">
        <f t="shared" si="650"/>
        <v>0</v>
      </c>
      <c r="CR127" s="130">
        <f t="shared" si="673"/>
        <v>0</v>
      </c>
      <c r="CS127" s="143" t="s">
        <v>51</v>
      </c>
      <c r="CT127" s="143" t="s">
        <v>51</v>
      </c>
      <c r="CU127" s="130">
        <f>'бюджет округа (района)'!AY128+'бюджеты поселений'!AY128</f>
        <v>0</v>
      </c>
      <c r="CV127" s="130">
        <f>'бюджет округа (района)'!AY128</f>
        <v>0</v>
      </c>
      <c r="CW127" s="130">
        <f t="shared" si="652"/>
        <v>0</v>
      </c>
      <c r="CX127" s="130">
        <f t="shared" si="674"/>
        <v>0</v>
      </c>
      <c r="CY127" s="143" t="s">
        <v>51</v>
      </c>
      <c r="CZ127" s="143" t="s">
        <v>51</v>
      </c>
      <c r="DA127" s="130">
        <f>'бюджет округа (района)'!BB128+'бюджеты поселений'!BB128</f>
        <v>0</v>
      </c>
      <c r="DB127" s="130">
        <f>'бюджет округа (района)'!BB128</f>
        <v>0</v>
      </c>
      <c r="DC127" s="130">
        <f t="shared" si="654"/>
        <v>0</v>
      </c>
      <c r="DD127" s="130">
        <f t="shared" si="675"/>
        <v>0</v>
      </c>
      <c r="DE127" s="143" t="s">
        <v>51</v>
      </c>
      <c r="DF127" s="143" t="s">
        <v>51</v>
      </c>
      <c r="DG127" s="130">
        <f>'бюджет округа (района)'!BE128+'бюджеты поселений'!BE128</f>
        <v>0</v>
      </c>
      <c r="DH127" s="130">
        <f>'бюджет округа (района)'!BE128</f>
        <v>0</v>
      </c>
      <c r="DI127" s="130">
        <f t="shared" si="656"/>
        <v>0</v>
      </c>
      <c r="DJ127" s="130">
        <f t="shared" si="676"/>
        <v>0</v>
      </c>
      <c r="DK127" s="143" t="s">
        <v>51</v>
      </c>
      <c r="DL127" s="143" t="s">
        <v>51</v>
      </c>
      <c r="DM127" s="130">
        <f>'бюджет округа (района)'!BH128+'бюджеты поселений'!BH128</f>
        <v>0</v>
      </c>
      <c r="DN127" s="130">
        <f>'бюджет округа (района)'!BH128</f>
        <v>0</v>
      </c>
      <c r="DO127" s="130">
        <f>'бюджет округа (района)'!BI128+'бюджеты поселений'!BI128</f>
        <v>0</v>
      </c>
      <c r="DP127" s="130">
        <f>'бюджет округа (района)'!BI128</f>
        <v>0</v>
      </c>
      <c r="DQ127" s="130">
        <f>'бюджет округа (района)'!BJ128+'бюджеты поселений'!BJ128</f>
        <v>0</v>
      </c>
      <c r="DR127" s="130">
        <f>'бюджет округа (района)'!BJ128</f>
        <v>0</v>
      </c>
      <c r="DS127" s="143" t="s">
        <v>51</v>
      </c>
      <c r="DT127" s="143" t="s">
        <v>51</v>
      </c>
      <c r="DU127" s="143">
        <f t="shared" si="616"/>
        <v>1</v>
      </c>
      <c r="DV127" s="143">
        <f t="shared" si="617"/>
        <v>1</v>
      </c>
      <c r="DW127" s="172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</row>
    <row r="128" spans="1:268" s="66" customFormat="1" ht="16.5">
      <c r="A128" s="219" t="s">
        <v>78</v>
      </c>
      <c r="B128" s="220"/>
      <c r="C128" s="137">
        <f>'бюджет округа (района)'!C129+'бюджеты поселений'!C129</f>
        <v>0</v>
      </c>
      <c r="D128" s="137">
        <f>'бюджет округа (района)'!C129</f>
        <v>0</v>
      </c>
      <c r="E128" s="137">
        <f t="shared" si="658"/>
        <v>0</v>
      </c>
      <c r="F128" s="137">
        <f t="shared" si="658"/>
        <v>0</v>
      </c>
      <c r="G128" s="137">
        <f>'бюджет округа (района)'!E129+'бюджеты поселений'!E129</f>
        <v>0</v>
      </c>
      <c r="H128" s="137">
        <f>'бюджет округа (района)'!E129</f>
        <v>0</v>
      </c>
      <c r="I128" s="137">
        <f>'бюджет округа (района)'!F129+'бюджеты поселений'!F129</f>
        <v>0</v>
      </c>
      <c r="J128" s="137">
        <f>'бюджет округа (района)'!F129</f>
        <v>0</v>
      </c>
      <c r="K128" s="137">
        <f t="shared" si="618"/>
        <v>0</v>
      </c>
      <c r="L128" s="137">
        <f t="shared" si="619"/>
        <v>0</v>
      </c>
      <c r="M128" s="137">
        <f>'бюджет округа (района)'!H129+'бюджеты поселений'!H129</f>
        <v>0</v>
      </c>
      <c r="N128" s="137">
        <f>'бюджет округа (района)'!H129</f>
        <v>0</v>
      </c>
      <c r="O128" s="137">
        <f t="shared" si="620"/>
        <v>0</v>
      </c>
      <c r="P128" s="137">
        <f t="shared" si="621"/>
        <v>0</v>
      </c>
      <c r="Q128" s="137">
        <f>'бюджет округа (района)'!J129+'бюджеты поселений'!J129</f>
        <v>0</v>
      </c>
      <c r="R128" s="137">
        <f>'бюджет округа (района)'!J129</f>
        <v>0</v>
      </c>
      <c r="S128" s="137">
        <f t="shared" si="622"/>
        <v>0</v>
      </c>
      <c r="T128" s="137">
        <f t="shared" si="623"/>
        <v>0</v>
      </c>
      <c r="U128" s="137">
        <f>'бюджет округа (района)'!L129+'бюджеты поселений'!L129</f>
        <v>0</v>
      </c>
      <c r="V128" s="137">
        <f>'бюджет округа (района)'!L129</f>
        <v>0</v>
      </c>
      <c r="W128" s="137">
        <f t="shared" si="624"/>
        <v>0</v>
      </c>
      <c r="X128" s="137">
        <f t="shared" si="625"/>
        <v>0</v>
      </c>
      <c r="Y128" s="137">
        <f>'бюджет округа (района)'!N129+'бюджеты поселений'!N129</f>
        <v>0</v>
      </c>
      <c r="Z128" s="137">
        <f>'бюджет округа (района)'!N129</f>
        <v>0</v>
      </c>
      <c r="AA128" s="137">
        <f t="shared" si="626"/>
        <v>0</v>
      </c>
      <c r="AB128" s="137">
        <f t="shared" si="627"/>
        <v>0</v>
      </c>
      <c r="AC128" s="137">
        <f>'бюджет округа (района)'!P129+'бюджеты поселений'!P129</f>
        <v>0</v>
      </c>
      <c r="AD128" s="137">
        <f>'бюджет округа (района)'!P129</f>
        <v>0</v>
      </c>
      <c r="AE128" s="137">
        <f t="shared" si="628"/>
        <v>0</v>
      </c>
      <c r="AF128" s="137">
        <f t="shared" si="629"/>
        <v>0</v>
      </c>
      <c r="AG128" s="137">
        <f>'бюджет округа (района)'!R129+'бюджеты поселений'!R129</f>
        <v>0</v>
      </c>
      <c r="AH128" s="137">
        <f>'бюджет округа (района)'!R129</f>
        <v>0</v>
      </c>
      <c r="AI128" s="137">
        <f t="shared" si="630"/>
        <v>0</v>
      </c>
      <c r="AJ128" s="137">
        <f t="shared" si="631"/>
        <v>0</v>
      </c>
      <c r="AK128" s="137">
        <f>'бюджет округа (района)'!T129+'бюджеты поселений'!T129</f>
        <v>0</v>
      </c>
      <c r="AL128" s="137">
        <f>'бюджет округа (района)'!T129</f>
        <v>0</v>
      </c>
      <c r="AM128" s="137">
        <f t="shared" si="632"/>
        <v>0</v>
      </c>
      <c r="AN128" s="137">
        <f t="shared" si="633"/>
        <v>0</v>
      </c>
      <c r="AO128" s="137">
        <f>'бюджет округа (района)'!V129+'бюджеты поселений'!V129</f>
        <v>0</v>
      </c>
      <c r="AP128" s="137">
        <f>'бюджет округа (района)'!V129</f>
        <v>0</v>
      </c>
      <c r="AQ128" s="137">
        <f t="shared" si="634"/>
        <v>0</v>
      </c>
      <c r="AR128" s="137">
        <f t="shared" si="635"/>
        <v>0</v>
      </c>
      <c r="AS128" s="137">
        <f>'бюджет округа (района)'!X129+'бюджеты поселений'!X129</f>
        <v>0</v>
      </c>
      <c r="AT128" s="137">
        <f>'бюджет округа (района)'!X129</f>
        <v>0</v>
      </c>
      <c r="AU128" s="137">
        <f t="shared" si="636"/>
        <v>0</v>
      </c>
      <c r="AV128" s="137">
        <f t="shared" si="637"/>
        <v>0</v>
      </c>
      <c r="AW128" s="137">
        <f>'бюджет округа (района)'!Z129+'бюджеты поселений'!Z129</f>
        <v>0</v>
      </c>
      <c r="AX128" s="137">
        <f>'бюджет округа (района)'!Z129</f>
        <v>0</v>
      </c>
      <c r="AY128" s="137" t="e">
        <f>'бюджет округа (района)'!AA129+'бюджеты поселений'!AA129</f>
        <v>#VALUE!</v>
      </c>
      <c r="AZ128" s="137" t="str">
        <f>'бюджет округа (района)'!AA129</f>
        <v>x</v>
      </c>
      <c r="BA128" s="162" t="s">
        <v>51</v>
      </c>
      <c r="BB128" s="162" t="s">
        <v>51</v>
      </c>
      <c r="BC128" s="137">
        <f>'бюджет округа (района)'!AC129+'бюджеты поселений'!AC129</f>
        <v>0</v>
      </c>
      <c r="BD128" s="137">
        <f>'бюджет округа (района)'!AC129</f>
        <v>0</v>
      </c>
      <c r="BE128" s="137">
        <f>'бюджет округа (района)'!AD129+'бюджеты поселений'!AD129</f>
        <v>0</v>
      </c>
      <c r="BF128" s="137">
        <f>'бюджет округа (района)'!AD129</f>
        <v>0</v>
      </c>
      <c r="BG128" s="137">
        <f t="shared" si="638"/>
        <v>0</v>
      </c>
      <c r="BH128" s="137">
        <f t="shared" si="639"/>
        <v>0</v>
      </c>
      <c r="BI128" s="162" t="s">
        <v>51</v>
      </c>
      <c r="BJ128" s="162" t="s">
        <v>51</v>
      </c>
      <c r="BK128" s="137">
        <f>'бюджет округа (района)'!AG129+'бюджеты поселений'!AG129</f>
        <v>0</v>
      </c>
      <c r="BL128" s="137">
        <f>'бюджет округа (района)'!AG129</f>
        <v>0</v>
      </c>
      <c r="BM128" s="137">
        <f t="shared" si="640"/>
        <v>0</v>
      </c>
      <c r="BN128" s="137">
        <f t="shared" si="668"/>
        <v>0</v>
      </c>
      <c r="BO128" s="162" t="s">
        <v>51</v>
      </c>
      <c r="BP128" s="162" t="s">
        <v>51</v>
      </c>
      <c r="BQ128" s="137">
        <f>'бюджет округа (района)'!AJ129+'бюджеты поселений'!AJ129</f>
        <v>0</v>
      </c>
      <c r="BR128" s="137">
        <f>'бюджет округа (района)'!AJ129</f>
        <v>0</v>
      </c>
      <c r="BS128" s="137">
        <f t="shared" si="642"/>
        <v>0</v>
      </c>
      <c r="BT128" s="137">
        <f t="shared" si="669"/>
        <v>0</v>
      </c>
      <c r="BU128" s="162" t="s">
        <v>51</v>
      </c>
      <c r="BV128" s="162" t="s">
        <v>51</v>
      </c>
      <c r="BW128" s="137">
        <f>'бюджет округа (района)'!AM129+'бюджеты поселений'!AM129</f>
        <v>0</v>
      </c>
      <c r="BX128" s="137">
        <f>'бюджет округа (района)'!AM129</f>
        <v>0</v>
      </c>
      <c r="BY128" s="137">
        <f t="shared" si="644"/>
        <v>0</v>
      </c>
      <c r="BZ128" s="137">
        <f t="shared" si="670"/>
        <v>0</v>
      </c>
      <c r="CA128" s="162" t="s">
        <v>51</v>
      </c>
      <c r="CB128" s="162" t="s">
        <v>51</v>
      </c>
      <c r="CC128" s="137">
        <f>'бюджет округа (района)'!AP129+'бюджеты поселений'!AP129</f>
        <v>0</v>
      </c>
      <c r="CD128" s="137">
        <f>'бюджет округа (района)'!AP129</f>
        <v>0</v>
      </c>
      <c r="CE128" s="137">
        <f t="shared" si="646"/>
        <v>0</v>
      </c>
      <c r="CF128" s="137">
        <f t="shared" si="671"/>
        <v>0</v>
      </c>
      <c r="CG128" s="162" t="s">
        <v>51</v>
      </c>
      <c r="CH128" s="162" t="s">
        <v>51</v>
      </c>
      <c r="CI128" s="137">
        <f>'бюджет округа (района)'!AS129+'бюджеты поселений'!AS129</f>
        <v>0</v>
      </c>
      <c r="CJ128" s="137">
        <f>'бюджет округа (района)'!AS129</f>
        <v>0</v>
      </c>
      <c r="CK128" s="137">
        <f t="shared" si="648"/>
        <v>0</v>
      </c>
      <c r="CL128" s="137">
        <f t="shared" si="672"/>
        <v>0</v>
      </c>
      <c r="CM128" s="162" t="s">
        <v>51</v>
      </c>
      <c r="CN128" s="162" t="s">
        <v>51</v>
      </c>
      <c r="CO128" s="137">
        <f>'бюджет округа (района)'!AV129+'бюджеты поселений'!AV129</f>
        <v>0</v>
      </c>
      <c r="CP128" s="137">
        <f>'бюджет округа (района)'!AV129</f>
        <v>0</v>
      </c>
      <c r="CQ128" s="137">
        <f t="shared" si="650"/>
        <v>0</v>
      </c>
      <c r="CR128" s="137">
        <f t="shared" si="673"/>
        <v>0</v>
      </c>
      <c r="CS128" s="162" t="s">
        <v>51</v>
      </c>
      <c r="CT128" s="162" t="s">
        <v>51</v>
      </c>
      <c r="CU128" s="137">
        <f>'бюджет округа (района)'!AY129+'бюджеты поселений'!AY129</f>
        <v>0</v>
      </c>
      <c r="CV128" s="137">
        <f>'бюджет округа (района)'!AY129</f>
        <v>0</v>
      </c>
      <c r="CW128" s="137">
        <f t="shared" si="652"/>
        <v>0</v>
      </c>
      <c r="CX128" s="137">
        <f t="shared" si="674"/>
        <v>0</v>
      </c>
      <c r="CY128" s="162" t="s">
        <v>51</v>
      </c>
      <c r="CZ128" s="162" t="s">
        <v>51</v>
      </c>
      <c r="DA128" s="137">
        <f>'бюджет округа (района)'!BB129+'бюджеты поселений'!BB129</f>
        <v>0</v>
      </c>
      <c r="DB128" s="137">
        <f>'бюджет округа (района)'!BB129</f>
        <v>0</v>
      </c>
      <c r="DC128" s="137">
        <f t="shared" si="654"/>
        <v>0</v>
      </c>
      <c r="DD128" s="137">
        <f t="shared" si="675"/>
        <v>0</v>
      </c>
      <c r="DE128" s="162" t="s">
        <v>51</v>
      </c>
      <c r="DF128" s="162" t="s">
        <v>51</v>
      </c>
      <c r="DG128" s="137">
        <f>'бюджет округа (района)'!BE129+'бюджеты поселений'!BE129</f>
        <v>0</v>
      </c>
      <c r="DH128" s="137">
        <f>'бюджет округа (района)'!BE129</f>
        <v>0</v>
      </c>
      <c r="DI128" s="137">
        <f t="shared" si="656"/>
        <v>0</v>
      </c>
      <c r="DJ128" s="137">
        <f t="shared" si="676"/>
        <v>0</v>
      </c>
      <c r="DK128" s="162" t="s">
        <v>51</v>
      </c>
      <c r="DL128" s="162" t="s">
        <v>51</v>
      </c>
      <c r="DM128" s="137">
        <f>'бюджет округа (района)'!BH129+'бюджеты поселений'!BH129</f>
        <v>0</v>
      </c>
      <c r="DN128" s="137">
        <f>'бюджет округа (района)'!BH129</f>
        <v>0</v>
      </c>
      <c r="DO128" s="137">
        <f>'бюджет округа (района)'!BI129+'бюджеты поселений'!BI129</f>
        <v>0</v>
      </c>
      <c r="DP128" s="137">
        <f>'бюджет округа (района)'!BI129</f>
        <v>0</v>
      </c>
      <c r="DQ128" s="137">
        <f>'бюджет округа (района)'!BJ129+'бюджеты поселений'!BJ129</f>
        <v>0</v>
      </c>
      <c r="DR128" s="137">
        <f>'бюджет округа (района)'!BJ129</f>
        <v>0</v>
      </c>
      <c r="DS128" s="162" t="s">
        <v>51</v>
      </c>
      <c r="DT128" s="162" t="s">
        <v>51</v>
      </c>
      <c r="DU128" s="162">
        <f t="shared" si="616"/>
        <v>1</v>
      </c>
      <c r="DV128" s="162">
        <f t="shared" si="617"/>
        <v>1</v>
      </c>
      <c r="DW128" s="171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87" customFormat="1" ht="15.75" customHeight="1">
      <c r="A129" s="213" t="s">
        <v>79</v>
      </c>
      <c r="B129" s="214"/>
      <c r="C129" s="130">
        <f>'бюджет округа (района)'!C130+'бюджеты поселений'!C130</f>
        <v>0</v>
      </c>
      <c r="D129" s="130">
        <f>'бюджет округа (района)'!C130</f>
        <v>0</v>
      </c>
      <c r="E129" s="130">
        <f t="shared" si="658"/>
        <v>0</v>
      </c>
      <c r="F129" s="130">
        <f t="shared" si="658"/>
        <v>0</v>
      </c>
      <c r="G129" s="130">
        <f>'бюджет округа (района)'!E130+'бюджеты поселений'!E130</f>
        <v>0</v>
      </c>
      <c r="H129" s="130">
        <f>'бюджет округа (района)'!E130</f>
        <v>0</v>
      </c>
      <c r="I129" s="130">
        <f>'бюджет округа (района)'!F130+'бюджеты поселений'!F130</f>
        <v>0</v>
      </c>
      <c r="J129" s="130">
        <f>'бюджет округа (района)'!F130</f>
        <v>0</v>
      </c>
      <c r="K129" s="130">
        <f t="shared" si="618"/>
        <v>0</v>
      </c>
      <c r="L129" s="130">
        <f t="shared" si="619"/>
        <v>0</v>
      </c>
      <c r="M129" s="130">
        <f>'бюджет округа (района)'!H130+'бюджеты поселений'!H130</f>
        <v>0</v>
      </c>
      <c r="N129" s="130">
        <f>'бюджет округа (района)'!H130</f>
        <v>0</v>
      </c>
      <c r="O129" s="130">
        <f t="shared" si="620"/>
        <v>0</v>
      </c>
      <c r="P129" s="130">
        <f t="shared" si="621"/>
        <v>0</v>
      </c>
      <c r="Q129" s="130">
        <f>'бюджет округа (района)'!J130+'бюджеты поселений'!J130</f>
        <v>0</v>
      </c>
      <c r="R129" s="130">
        <f>'бюджет округа (района)'!J130</f>
        <v>0</v>
      </c>
      <c r="S129" s="130">
        <f t="shared" si="622"/>
        <v>0</v>
      </c>
      <c r="T129" s="130">
        <f t="shared" si="623"/>
        <v>0</v>
      </c>
      <c r="U129" s="130">
        <f>'бюджет округа (района)'!L130+'бюджеты поселений'!L130</f>
        <v>0</v>
      </c>
      <c r="V129" s="130">
        <f>'бюджет округа (района)'!L130</f>
        <v>0</v>
      </c>
      <c r="W129" s="130">
        <f t="shared" si="624"/>
        <v>0</v>
      </c>
      <c r="X129" s="130">
        <f t="shared" si="625"/>
        <v>0</v>
      </c>
      <c r="Y129" s="130">
        <f>'бюджет округа (района)'!N130+'бюджеты поселений'!N130</f>
        <v>0</v>
      </c>
      <c r="Z129" s="130">
        <f>'бюджет округа (района)'!N130</f>
        <v>0</v>
      </c>
      <c r="AA129" s="130">
        <f t="shared" si="626"/>
        <v>0</v>
      </c>
      <c r="AB129" s="130">
        <f t="shared" si="627"/>
        <v>0</v>
      </c>
      <c r="AC129" s="130">
        <f>'бюджет округа (района)'!P130+'бюджеты поселений'!P130</f>
        <v>0</v>
      </c>
      <c r="AD129" s="130">
        <f>'бюджет округа (района)'!P130</f>
        <v>0</v>
      </c>
      <c r="AE129" s="130">
        <f t="shared" si="628"/>
        <v>0</v>
      </c>
      <c r="AF129" s="130">
        <f t="shared" si="629"/>
        <v>0</v>
      </c>
      <c r="AG129" s="130">
        <f>'бюджет округа (района)'!R130+'бюджеты поселений'!R130</f>
        <v>0</v>
      </c>
      <c r="AH129" s="130">
        <f>'бюджет округа (района)'!R130</f>
        <v>0</v>
      </c>
      <c r="AI129" s="130">
        <f t="shared" si="630"/>
        <v>0</v>
      </c>
      <c r="AJ129" s="130">
        <f t="shared" si="631"/>
        <v>0</v>
      </c>
      <c r="AK129" s="130">
        <f>'бюджет округа (района)'!T130+'бюджеты поселений'!T130</f>
        <v>0</v>
      </c>
      <c r="AL129" s="130">
        <f>'бюджет округа (района)'!T130</f>
        <v>0</v>
      </c>
      <c r="AM129" s="130">
        <f t="shared" si="632"/>
        <v>0</v>
      </c>
      <c r="AN129" s="130">
        <f t="shared" si="633"/>
        <v>0</v>
      </c>
      <c r="AO129" s="130">
        <f>'бюджет округа (района)'!V130+'бюджеты поселений'!V130</f>
        <v>0</v>
      </c>
      <c r="AP129" s="130">
        <f>'бюджет округа (района)'!V130</f>
        <v>0</v>
      </c>
      <c r="AQ129" s="130">
        <f t="shared" si="634"/>
        <v>0</v>
      </c>
      <c r="AR129" s="130">
        <f t="shared" si="635"/>
        <v>0</v>
      </c>
      <c r="AS129" s="130">
        <f>'бюджет округа (района)'!X130+'бюджеты поселений'!X130</f>
        <v>0</v>
      </c>
      <c r="AT129" s="130">
        <f>'бюджет округа (района)'!X130</f>
        <v>0</v>
      </c>
      <c r="AU129" s="130">
        <f t="shared" si="636"/>
        <v>0</v>
      </c>
      <c r="AV129" s="130">
        <f t="shared" si="637"/>
        <v>0</v>
      </c>
      <c r="AW129" s="130">
        <f>'бюджет округа (района)'!Z130+'бюджеты поселений'!Z130</f>
        <v>0</v>
      </c>
      <c r="AX129" s="130">
        <f>'бюджет округа (района)'!Z130</f>
        <v>0</v>
      </c>
      <c r="AY129" s="130" t="e">
        <f>'бюджет округа (района)'!AA130+'бюджеты поселений'!AA130</f>
        <v>#VALUE!</v>
      </c>
      <c r="AZ129" s="130" t="str">
        <f>'бюджет округа (района)'!AA130</f>
        <v>x</v>
      </c>
      <c r="BA129" s="143" t="s">
        <v>51</v>
      </c>
      <c r="BB129" s="143" t="s">
        <v>51</v>
      </c>
      <c r="BC129" s="130">
        <f>'бюджет округа (района)'!AC130+'бюджеты поселений'!AC130</f>
        <v>0</v>
      </c>
      <c r="BD129" s="130">
        <f>'бюджет округа (района)'!AC130</f>
        <v>0</v>
      </c>
      <c r="BE129" s="130">
        <f>'бюджет округа (района)'!AD130+'бюджеты поселений'!AD130</f>
        <v>0</v>
      </c>
      <c r="BF129" s="130">
        <f>'бюджет округа (района)'!AD130</f>
        <v>0</v>
      </c>
      <c r="BG129" s="130">
        <f t="shared" si="638"/>
        <v>0</v>
      </c>
      <c r="BH129" s="130">
        <f t="shared" si="639"/>
        <v>0</v>
      </c>
      <c r="BI129" s="143" t="s">
        <v>51</v>
      </c>
      <c r="BJ129" s="143" t="s">
        <v>51</v>
      </c>
      <c r="BK129" s="130">
        <f>'бюджет округа (района)'!AG130+'бюджеты поселений'!AG130</f>
        <v>0</v>
      </c>
      <c r="BL129" s="130">
        <f>'бюджет округа (района)'!AG130</f>
        <v>0</v>
      </c>
      <c r="BM129" s="130">
        <f t="shared" si="640"/>
        <v>0</v>
      </c>
      <c r="BN129" s="130">
        <f t="shared" si="668"/>
        <v>0</v>
      </c>
      <c r="BO129" s="143" t="s">
        <v>51</v>
      </c>
      <c r="BP129" s="143" t="s">
        <v>51</v>
      </c>
      <c r="BQ129" s="130">
        <f>'бюджет округа (района)'!AJ130+'бюджеты поселений'!AJ130</f>
        <v>0</v>
      </c>
      <c r="BR129" s="130">
        <f>'бюджет округа (района)'!AJ130</f>
        <v>0</v>
      </c>
      <c r="BS129" s="130">
        <f t="shared" si="642"/>
        <v>0</v>
      </c>
      <c r="BT129" s="130">
        <f t="shared" si="669"/>
        <v>0</v>
      </c>
      <c r="BU129" s="143" t="s">
        <v>51</v>
      </c>
      <c r="BV129" s="143" t="s">
        <v>51</v>
      </c>
      <c r="BW129" s="130">
        <f>'бюджет округа (района)'!AM130+'бюджеты поселений'!AM130</f>
        <v>0</v>
      </c>
      <c r="BX129" s="130">
        <f>'бюджет округа (района)'!AM130</f>
        <v>0</v>
      </c>
      <c r="BY129" s="130">
        <f t="shared" si="644"/>
        <v>0</v>
      </c>
      <c r="BZ129" s="130">
        <f t="shared" si="670"/>
        <v>0</v>
      </c>
      <c r="CA129" s="143" t="s">
        <v>51</v>
      </c>
      <c r="CB129" s="143" t="s">
        <v>51</v>
      </c>
      <c r="CC129" s="130">
        <f>'бюджет округа (района)'!AP130+'бюджеты поселений'!AP130</f>
        <v>0</v>
      </c>
      <c r="CD129" s="130">
        <f>'бюджет округа (района)'!AP130</f>
        <v>0</v>
      </c>
      <c r="CE129" s="130">
        <f t="shared" si="646"/>
        <v>0</v>
      </c>
      <c r="CF129" s="130">
        <f t="shared" si="671"/>
        <v>0</v>
      </c>
      <c r="CG129" s="143" t="s">
        <v>51</v>
      </c>
      <c r="CH129" s="143" t="s">
        <v>51</v>
      </c>
      <c r="CI129" s="130">
        <f>'бюджет округа (района)'!AS130+'бюджеты поселений'!AS130</f>
        <v>0</v>
      </c>
      <c r="CJ129" s="130">
        <f>'бюджет округа (района)'!AS130</f>
        <v>0</v>
      </c>
      <c r="CK129" s="130">
        <f t="shared" si="648"/>
        <v>0</v>
      </c>
      <c r="CL129" s="130">
        <f t="shared" si="672"/>
        <v>0</v>
      </c>
      <c r="CM129" s="143" t="s">
        <v>51</v>
      </c>
      <c r="CN129" s="143" t="s">
        <v>51</v>
      </c>
      <c r="CO129" s="130">
        <f>'бюджет округа (района)'!AV130+'бюджеты поселений'!AV130</f>
        <v>0</v>
      </c>
      <c r="CP129" s="130">
        <f>'бюджет округа (района)'!AV130</f>
        <v>0</v>
      </c>
      <c r="CQ129" s="130">
        <f t="shared" si="650"/>
        <v>0</v>
      </c>
      <c r="CR129" s="130">
        <f t="shared" si="673"/>
        <v>0</v>
      </c>
      <c r="CS129" s="143" t="s">
        <v>51</v>
      </c>
      <c r="CT129" s="143" t="s">
        <v>51</v>
      </c>
      <c r="CU129" s="130">
        <f>'бюджет округа (района)'!AY130+'бюджеты поселений'!AY130</f>
        <v>0</v>
      </c>
      <c r="CV129" s="130">
        <f>'бюджет округа (района)'!AY130</f>
        <v>0</v>
      </c>
      <c r="CW129" s="130">
        <f t="shared" si="652"/>
        <v>0</v>
      </c>
      <c r="CX129" s="130">
        <f t="shared" si="674"/>
        <v>0</v>
      </c>
      <c r="CY129" s="143" t="s">
        <v>51</v>
      </c>
      <c r="CZ129" s="143" t="s">
        <v>51</v>
      </c>
      <c r="DA129" s="130">
        <f>'бюджет округа (района)'!BB130+'бюджеты поселений'!BB130</f>
        <v>0</v>
      </c>
      <c r="DB129" s="130">
        <f>'бюджет округа (района)'!BB130</f>
        <v>0</v>
      </c>
      <c r="DC129" s="130">
        <f t="shared" si="654"/>
        <v>0</v>
      </c>
      <c r="DD129" s="130">
        <f t="shared" si="675"/>
        <v>0</v>
      </c>
      <c r="DE129" s="143" t="s">
        <v>51</v>
      </c>
      <c r="DF129" s="143" t="s">
        <v>51</v>
      </c>
      <c r="DG129" s="130">
        <f>'бюджет округа (района)'!BE130+'бюджеты поселений'!BE130</f>
        <v>0</v>
      </c>
      <c r="DH129" s="130">
        <f>'бюджет округа (района)'!BE130</f>
        <v>0</v>
      </c>
      <c r="DI129" s="130">
        <f t="shared" si="656"/>
        <v>0</v>
      </c>
      <c r="DJ129" s="130">
        <f t="shared" si="676"/>
        <v>0</v>
      </c>
      <c r="DK129" s="143" t="s">
        <v>51</v>
      </c>
      <c r="DL129" s="143" t="s">
        <v>51</v>
      </c>
      <c r="DM129" s="130">
        <f>'бюджет округа (района)'!BH130+'бюджеты поселений'!BH130</f>
        <v>0</v>
      </c>
      <c r="DN129" s="130">
        <f>'бюджет округа (района)'!BH130</f>
        <v>0</v>
      </c>
      <c r="DO129" s="130">
        <f>'бюджет округа (района)'!BI130+'бюджеты поселений'!BI130</f>
        <v>0</v>
      </c>
      <c r="DP129" s="130">
        <f>'бюджет округа (района)'!BI130</f>
        <v>0</v>
      </c>
      <c r="DQ129" s="130">
        <f>'бюджет округа (района)'!BJ130+'бюджеты поселений'!BJ130</f>
        <v>0</v>
      </c>
      <c r="DR129" s="130">
        <f>'бюджет округа (района)'!BJ130</f>
        <v>0</v>
      </c>
      <c r="DS129" s="143" t="s">
        <v>51</v>
      </c>
      <c r="DT129" s="143" t="s">
        <v>51</v>
      </c>
      <c r="DU129" s="143">
        <f t="shared" si="616"/>
        <v>1</v>
      </c>
      <c r="DV129" s="143">
        <f t="shared" si="617"/>
        <v>1</v>
      </c>
      <c r="DW129" s="172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</row>
    <row r="130" spans="1:268" s="82" customFormat="1" ht="16.5">
      <c r="A130" s="213" t="s">
        <v>134</v>
      </c>
      <c r="B130" s="214"/>
      <c r="C130" s="130">
        <f>'бюджет округа (района)'!C131+'бюджеты поселений'!C131</f>
        <v>0</v>
      </c>
      <c r="D130" s="130">
        <f>'бюджет округа (района)'!C131</f>
        <v>0</v>
      </c>
      <c r="E130" s="130">
        <f t="shared" si="658"/>
        <v>0</v>
      </c>
      <c r="F130" s="130">
        <f t="shared" si="658"/>
        <v>0</v>
      </c>
      <c r="G130" s="130">
        <f>'бюджет округа (района)'!E131+'бюджеты поселений'!E131</f>
        <v>0</v>
      </c>
      <c r="H130" s="130">
        <f>'бюджет округа (района)'!E131</f>
        <v>0</v>
      </c>
      <c r="I130" s="130">
        <f>'бюджет округа (района)'!F131+'бюджеты поселений'!F131</f>
        <v>0</v>
      </c>
      <c r="J130" s="130">
        <f>'бюджет округа (района)'!F131</f>
        <v>0</v>
      </c>
      <c r="K130" s="130">
        <f t="shared" si="618"/>
        <v>0</v>
      </c>
      <c r="L130" s="130">
        <f t="shared" si="619"/>
        <v>0</v>
      </c>
      <c r="M130" s="130">
        <f>'бюджет округа (района)'!H131+'бюджеты поселений'!H131</f>
        <v>0</v>
      </c>
      <c r="N130" s="130">
        <f>'бюджет округа (района)'!H131</f>
        <v>0</v>
      </c>
      <c r="O130" s="130">
        <f t="shared" si="620"/>
        <v>0</v>
      </c>
      <c r="P130" s="130">
        <f t="shared" si="621"/>
        <v>0</v>
      </c>
      <c r="Q130" s="130">
        <f>'бюджет округа (района)'!J131+'бюджеты поселений'!J131</f>
        <v>0</v>
      </c>
      <c r="R130" s="130">
        <f>'бюджет округа (района)'!J131</f>
        <v>0</v>
      </c>
      <c r="S130" s="130">
        <f t="shared" si="622"/>
        <v>0</v>
      </c>
      <c r="T130" s="130">
        <f t="shared" si="623"/>
        <v>0</v>
      </c>
      <c r="U130" s="130">
        <f>'бюджет округа (района)'!L131+'бюджеты поселений'!L131</f>
        <v>0</v>
      </c>
      <c r="V130" s="130">
        <f>'бюджет округа (района)'!L131</f>
        <v>0</v>
      </c>
      <c r="W130" s="130">
        <f t="shared" si="624"/>
        <v>0</v>
      </c>
      <c r="X130" s="130">
        <f t="shared" si="625"/>
        <v>0</v>
      </c>
      <c r="Y130" s="130">
        <f>'бюджет округа (района)'!N131+'бюджеты поселений'!N131</f>
        <v>0</v>
      </c>
      <c r="Z130" s="130">
        <f>'бюджет округа (района)'!N131</f>
        <v>0</v>
      </c>
      <c r="AA130" s="130">
        <f t="shared" si="626"/>
        <v>0</v>
      </c>
      <c r="AB130" s="130">
        <f t="shared" si="627"/>
        <v>0</v>
      </c>
      <c r="AC130" s="130">
        <f>'бюджет округа (района)'!P131+'бюджеты поселений'!P131</f>
        <v>0</v>
      </c>
      <c r="AD130" s="130">
        <f>'бюджет округа (района)'!P131</f>
        <v>0</v>
      </c>
      <c r="AE130" s="130">
        <f t="shared" si="628"/>
        <v>0</v>
      </c>
      <c r="AF130" s="130">
        <f t="shared" si="629"/>
        <v>0</v>
      </c>
      <c r="AG130" s="130">
        <f>'бюджет округа (района)'!R131+'бюджеты поселений'!R131</f>
        <v>0</v>
      </c>
      <c r="AH130" s="130">
        <f>'бюджет округа (района)'!R131</f>
        <v>0</v>
      </c>
      <c r="AI130" s="130">
        <f t="shared" si="630"/>
        <v>0</v>
      </c>
      <c r="AJ130" s="130">
        <f t="shared" si="631"/>
        <v>0</v>
      </c>
      <c r="AK130" s="130">
        <f>'бюджет округа (района)'!T131+'бюджеты поселений'!T131</f>
        <v>0</v>
      </c>
      <c r="AL130" s="130">
        <f>'бюджет округа (района)'!T131</f>
        <v>0</v>
      </c>
      <c r="AM130" s="130">
        <f t="shared" si="632"/>
        <v>0</v>
      </c>
      <c r="AN130" s="130">
        <f t="shared" si="633"/>
        <v>0</v>
      </c>
      <c r="AO130" s="130">
        <f>'бюджет округа (района)'!V131+'бюджеты поселений'!V131</f>
        <v>0</v>
      </c>
      <c r="AP130" s="130">
        <f>'бюджет округа (района)'!V131</f>
        <v>0</v>
      </c>
      <c r="AQ130" s="130">
        <f t="shared" si="634"/>
        <v>0</v>
      </c>
      <c r="AR130" s="130">
        <f t="shared" si="635"/>
        <v>0</v>
      </c>
      <c r="AS130" s="130">
        <f>'бюджет округа (района)'!X131+'бюджеты поселений'!X131</f>
        <v>0</v>
      </c>
      <c r="AT130" s="130">
        <f>'бюджет округа (района)'!X131</f>
        <v>0</v>
      </c>
      <c r="AU130" s="130">
        <f t="shared" si="636"/>
        <v>0</v>
      </c>
      <c r="AV130" s="130">
        <f t="shared" si="637"/>
        <v>0</v>
      </c>
      <c r="AW130" s="130">
        <f>'бюджет округа (района)'!Z131+'бюджеты поселений'!Z131</f>
        <v>0</v>
      </c>
      <c r="AX130" s="130">
        <f>'бюджет округа (района)'!Z131</f>
        <v>0</v>
      </c>
      <c r="AY130" s="130" t="e">
        <f>'бюджет округа (района)'!AA131+'бюджеты поселений'!AA131</f>
        <v>#VALUE!</v>
      </c>
      <c r="AZ130" s="130" t="str">
        <f>'бюджет округа (района)'!AA131</f>
        <v>x</v>
      </c>
      <c r="BA130" s="143" t="s">
        <v>51</v>
      </c>
      <c r="BB130" s="143" t="s">
        <v>51</v>
      </c>
      <c r="BC130" s="130">
        <f>'бюджет округа (района)'!AC131+'бюджеты поселений'!AC131</f>
        <v>0</v>
      </c>
      <c r="BD130" s="130">
        <f>'бюджет округа (района)'!AC131</f>
        <v>0</v>
      </c>
      <c r="BE130" s="130">
        <f>'бюджет округа (района)'!AD131+'бюджеты поселений'!AD131</f>
        <v>0</v>
      </c>
      <c r="BF130" s="130">
        <f>'бюджет округа (района)'!AD131</f>
        <v>0</v>
      </c>
      <c r="BG130" s="130">
        <f t="shared" si="638"/>
        <v>0</v>
      </c>
      <c r="BH130" s="130">
        <f t="shared" si="639"/>
        <v>0</v>
      </c>
      <c r="BI130" s="143">
        <f t="shared" ref="BI130:BJ130" si="677">IF(K130=0,1,BG130/K130-1)</f>
        <v>1</v>
      </c>
      <c r="BJ130" s="143">
        <f t="shared" si="677"/>
        <v>1</v>
      </c>
      <c r="BK130" s="130">
        <f>'бюджет округа (района)'!AG131+'бюджеты поселений'!AG131</f>
        <v>0</v>
      </c>
      <c r="BL130" s="130">
        <f>'бюджет округа (района)'!AG131</f>
        <v>0</v>
      </c>
      <c r="BM130" s="130">
        <f t="shared" si="640"/>
        <v>0</v>
      </c>
      <c r="BN130" s="130">
        <f t="shared" si="668"/>
        <v>0</v>
      </c>
      <c r="BO130" s="143">
        <f t="shared" ref="BO130:BP130" si="678">IF(O130=0,1,BM130/O130-1)</f>
        <v>1</v>
      </c>
      <c r="BP130" s="143">
        <f t="shared" si="678"/>
        <v>1</v>
      </c>
      <c r="BQ130" s="130">
        <f>'бюджет округа (района)'!AJ131+'бюджеты поселений'!AJ131</f>
        <v>0</v>
      </c>
      <c r="BR130" s="130">
        <f>'бюджет округа (района)'!AJ131</f>
        <v>0</v>
      </c>
      <c r="BS130" s="130">
        <f t="shared" si="642"/>
        <v>0</v>
      </c>
      <c r="BT130" s="130">
        <f t="shared" si="669"/>
        <v>0</v>
      </c>
      <c r="BU130" s="143">
        <f t="shared" ref="BU130:BV130" si="679">IF(S130=0,1,BS130/S130-1)</f>
        <v>1</v>
      </c>
      <c r="BV130" s="143">
        <f t="shared" si="679"/>
        <v>1</v>
      </c>
      <c r="BW130" s="130">
        <f>'бюджет округа (района)'!AM131+'бюджеты поселений'!AM131</f>
        <v>0</v>
      </c>
      <c r="BX130" s="130">
        <f>'бюджет округа (района)'!AM131</f>
        <v>0</v>
      </c>
      <c r="BY130" s="130">
        <f t="shared" si="644"/>
        <v>0</v>
      </c>
      <c r="BZ130" s="130">
        <f t="shared" si="670"/>
        <v>0</v>
      </c>
      <c r="CA130" s="143">
        <f t="shared" ref="CA130:CB130" si="680">IF(W130=0,1,BY130/W130-1)</f>
        <v>1</v>
      </c>
      <c r="CB130" s="143">
        <f t="shared" si="680"/>
        <v>1</v>
      </c>
      <c r="CC130" s="130">
        <f>'бюджет округа (района)'!AP131+'бюджеты поселений'!AP131</f>
        <v>0</v>
      </c>
      <c r="CD130" s="130">
        <f>'бюджет округа (района)'!AP131</f>
        <v>0</v>
      </c>
      <c r="CE130" s="130">
        <f t="shared" si="646"/>
        <v>0</v>
      </c>
      <c r="CF130" s="130">
        <f t="shared" si="671"/>
        <v>0</v>
      </c>
      <c r="CG130" s="143">
        <f t="shared" ref="CG130:CH130" si="681">IF(AA130=0,1,CE130/AA130-1)</f>
        <v>1</v>
      </c>
      <c r="CH130" s="143">
        <f t="shared" si="681"/>
        <v>1</v>
      </c>
      <c r="CI130" s="130">
        <f>'бюджет округа (района)'!AS131+'бюджеты поселений'!AS131</f>
        <v>0</v>
      </c>
      <c r="CJ130" s="130">
        <f>'бюджет округа (района)'!AS131</f>
        <v>0</v>
      </c>
      <c r="CK130" s="130">
        <f t="shared" si="648"/>
        <v>0</v>
      </c>
      <c r="CL130" s="130">
        <f t="shared" si="672"/>
        <v>0</v>
      </c>
      <c r="CM130" s="143">
        <f t="shared" ref="CM130:CN130" si="682">IF(AE130=0,1,CK130/AE130-1)</f>
        <v>1</v>
      </c>
      <c r="CN130" s="143">
        <f t="shared" si="682"/>
        <v>1</v>
      </c>
      <c r="CO130" s="130">
        <f>'бюджет округа (района)'!AV131+'бюджеты поселений'!AV131</f>
        <v>0</v>
      </c>
      <c r="CP130" s="130">
        <f>'бюджет округа (района)'!AV131</f>
        <v>0</v>
      </c>
      <c r="CQ130" s="130">
        <f t="shared" si="650"/>
        <v>0</v>
      </c>
      <c r="CR130" s="130">
        <f t="shared" si="673"/>
        <v>0</v>
      </c>
      <c r="CS130" s="143">
        <f t="shared" ref="CS130:CT130" si="683">IF(AI130=0,1,CQ130/AI130-1)</f>
        <v>1</v>
      </c>
      <c r="CT130" s="143">
        <f t="shared" si="683"/>
        <v>1</v>
      </c>
      <c r="CU130" s="130">
        <f>'бюджет округа (района)'!AY131+'бюджеты поселений'!AY131</f>
        <v>0</v>
      </c>
      <c r="CV130" s="130">
        <f>'бюджет округа (района)'!AY131</f>
        <v>0</v>
      </c>
      <c r="CW130" s="130">
        <f t="shared" si="652"/>
        <v>0</v>
      </c>
      <c r="CX130" s="130">
        <f t="shared" si="674"/>
        <v>0</v>
      </c>
      <c r="CY130" s="143">
        <f t="shared" ref="CY130:CZ130" si="684">IF(AM130=0,1,CW130/AM130-1)</f>
        <v>1</v>
      </c>
      <c r="CZ130" s="143">
        <f t="shared" si="684"/>
        <v>1</v>
      </c>
      <c r="DA130" s="130">
        <f>'бюджет округа (района)'!BB131+'бюджеты поселений'!BB131</f>
        <v>0</v>
      </c>
      <c r="DB130" s="130">
        <f>'бюджет округа (района)'!BB131</f>
        <v>0</v>
      </c>
      <c r="DC130" s="130">
        <f t="shared" si="654"/>
        <v>0</v>
      </c>
      <c r="DD130" s="130">
        <f t="shared" si="675"/>
        <v>0</v>
      </c>
      <c r="DE130" s="143">
        <f t="shared" ref="DE130:DF130" si="685">IF(AQ130=0,1,DC130/AQ130-1)</f>
        <v>1</v>
      </c>
      <c r="DF130" s="143">
        <f t="shared" si="685"/>
        <v>1</v>
      </c>
      <c r="DG130" s="130">
        <f>'бюджет округа (района)'!BE131+'бюджеты поселений'!BE131</f>
        <v>0</v>
      </c>
      <c r="DH130" s="130">
        <f>'бюджет округа (района)'!BE131</f>
        <v>0</v>
      </c>
      <c r="DI130" s="130">
        <f t="shared" si="656"/>
        <v>0</v>
      </c>
      <c r="DJ130" s="130">
        <f t="shared" si="676"/>
        <v>0</v>
      </c>
      <c r="DK130" s="143">
        <f t="shared" ref="DK130:DL130" si="686">IF(AU130=0,1,DI130/AU130-1)</f>
        <v>1</v>
      </c>
      <c r="DL130" s="143">
        <f t="shared" si="686"/>
        <v>1</v>
      </c>
      <c r="DM130" s="130">
        <f>'бюджет округа (района)'!BH131+'бюджеты поселений'!BH131</f>
        <v>0</v>
      </c>
      <c r="DN130" s="130">
        <f>'бюджет округа (района)'!BH131</f>
        <v>0</v>
      </c>
      <c r="DO130" s="130">
        <f>'бюджет округа (района)'!BI131+'бюджеты поселений'!BI131</f>
        <v>0</v>
      </c>
      <c r="DP130" s="130">
        <f>'бюджет округа (района)'!BI131</f>
        <v>0</v>
      </c>
      <c r="DQ130" s="130">
        <f>'бюджет округа (района)'!BJ131+'бюджеты поселений'!BJ131</f>
        <v>0</v>
      </c>
      <c r="DR130" s="130">
        <f>'бюджет округа (района)'!BJ131</f>
        <v>0</v>
      </c>
      <c r="DS130" s="143">
        <f>IF($AY$24=0,1,DQ130/$AY$24-1)</f>
        <v>1</v>
      </c>
      <c r="DT130" s="143">
        <f>IF($AZ$24=0,1,DR130/$AZ$24-1)</f>
        <v>1</v>
      </c>
      <c r="DU130" s="143">
        <f t="shared" si="616"/>
        <v>1</v>
      </c>
      <c r="DV130" s="143">
        <f t="shared" si="617"/>
        <v>1</v>
      </c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91"/>
      <c r="DW156" s="91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91"/>
      <c r="DW157" s="91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91"/>
      <c r="DW158" s="91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91"/>
      <c r="DW159" s="91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91"/>
      <c r="DW160" s="91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91"/>
      <c r="DW161" s="91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91"/>
      <c r="DW162" s="91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91"/>
      <c r="DW163" s="91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91"/>
      <c r="DW164" s="91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91"/>
      <c r="DW165" s="91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91"/>
      <c r="DW166" s="91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91"/>
      <c r="DW167" s="91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91"/>
      <c r="DW168" s="91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91"/>
      <c r="DW169" s="91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91"/>
      <c r="DW170" s="91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91"/>
      <c r="DW171" s="91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91"/>
      <c r="DW172" s="91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91"/>
      <c r="DW173" s="91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91"/>
      <c r="DW174" s="91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47"/>
      <c r="DW265" s="47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47"/>
      <c r="DW266" s="47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47"/>
      <c r="DW267" s="47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47"/>
      <c r="DW268" s="47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47"/>
      <c r="DW269" s="47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47"/>
      <c r="DW270" s="47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47"/>
      <c r="DW271" s="47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47"/>
      <c r="DW272" s="47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47"/>
      <c r="DW273" s="47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47"/>
      <c r="DW274" s="47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47"/>
      <c r="DW275" s="47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47"/>
      <c r="DW276" s="47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47"/>
      <c r="DW277" s="47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47"/>
      <c r="DW278" s="47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47"/>
      <c r="DW279" s="47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47"/>
      <c r="DW280" s="47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47"/>
      <c r="DW281" s="47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47"/>
      <c r="DW282" s="47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47"/>
      <c r="DW283" s="47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26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26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26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26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  <row r="306" spans="1:128" s="2" customFormat="1">
      <c r="A306" s="48"/>
      <c r="B306" s="48"/>
      <c r="C306" s="48"/>
      <c r="D306" s="48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DV306" s="1"/>
      <c r="DW306" s="1"/>
      <c r="DX306" s="1"/>
    </row>
    <row r="307" spans="1:128" s="2" customFormat="1">
      <c r="A307" s="48"/>
      <c r="B307" s="48"/>
      <c r="C307" s="48"/>
      <c r="D307" s="48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DV307" s="1"/>
      <c r="DW307" s="1"/>
      <c r="DX307" s="1"/>
    </row>
    <row r="308" spans="1:128" s="2" customFormat="1">
      <c r="A308" s="48"/>
      <c r="B308" s="48"/>
      <c r="C308" s="48"/>
      <c r="D308" s="48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DV308" s="1"/>
      <c r="DW308" s="1"/>
      <c r="DX308" s="1"/>
    </row>
    <row r="309" spans="1:128" s="2" customFormat="1">
      <c r="A309" s="48"/>
      <c r="B309" s="48"/>
      <c r="C309" s="48"/>
      <c r="D309" s="48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DV309" s="1"/>
      <c r="DW309" s="1"/>
      <c r="DX309" s="1"/>
    </row>
    <row r="310" spans="1:128" s="2" customFormat="1">
      <c r="A310" s="48"/>
      <c r="B310" s="48"/>
      <c r="C310" s="48"/>
      <c r="D310" s="48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DV310" s="1"/>
      <c r="DW310" s="1"/>
      <c r="DX310" s="1"/>
    </row>
    <row r="311" spans="1:128" s="2" customFormat="1">
      <c r="A311" s="48"/>
      <c r="B311" s="48"/>
      <c r="C311" s="48"/>
      <c r="D311" s="48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DV311" s="1"/>
      <c r="DW311" s="1"/>
      <c r="DX311" s="1"/>
    </row>
    <row r="312" spans="1:128" s="2" customFormat="1">
      <c r="A312" s="48"/>
      <c r="B312" s="48"/>
      <c r="C312" s="48"/>
      <c r="D312" s="48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DV312" s="1"/>
      <c r="DW312" s="1"/>
      <c r="DX312" s="1"/>
    </row>
    <row r="313" spans="1:128" s="2" customFormat="1">
      <c r="A313" s="48"/>
      <c r="B313" s="48"/>
      <c r="C313" s="48"/>
      <c r="D313" s="48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DV313" s="1"/>
      <c r="DW313" s="1"/>
      <c r="DX313" s="1"/>
    </row>
    <row r="314" spans="1:128" s="2" customFormat="1">
      <c r="A314" s="48"/>
      <c r="B314" s="48"/>
      <c r="C314" s="48"/>
      <c r="D314" s="48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DV314" s="1"/>
      <c r="DW314" s="1"/>
      <c r="DX314" s="1"/>
    </row>
    <row r="315" spans="1:128" s="2" customFormat="1">
      <c r="A315" s="48"/>
      <c r="B315" s="48"/>
      <c r="C315" s="48"/>
      <c r="D315" s="48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DV315" s="1"/>
      <c r="DW315" s="1"/>
      <c r="DX315" s="1"/>
    </row>
    <row r="316" spans="1:128" s="2" customFormat="1">
      <c r="A316" s="48"/>
      <c r="B316" s="48"/>
      <c r="C316" s="48"/>
      <c r="D316" s="48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DV316" s="1"/>
      <c r="DW316" s="1"/>
      <c r="DX316" s="1"/>
    </row>
    <row r="317" spans="1:128" s="2" customFormat="1">
      <c r="A317" s="48"/>
      <c r="B317" s="48"/>
      <c r="C317" s="48"/>
      <c r="D317" s="48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DV317" s="1"/>
      <c r="DW317" s="1"/>
      <c r="DX317" s="1"/>
    </row>
    <row r="318" spans="1:128" s="2" customFormat="1">
      <c r="A318" s="48"/>
      <c r="B318" s="48"/>
      <c r="C318" s="48"/>
      <c r="D318" s="48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DV318" s="1"/>
      <c r="DW318" s="1"/>
      <c r="DX318" s="1"/>
    </row>
    <row r="319" spans="1:128" s="2" customFormat="1">
      <c r="A319" s="48"/>
      <c r="B319" s="48"/>
      <c r="C319" s="48"/>
      <c r="D319" s="48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DV319" s="1"/>
      <c r="DW319" s="1"/>
      <c r="DX319" s="1"/>
    </row>
    <row r="320" spans="1:128" s="2" customFormat="1">
      <c r="A320" s="48"/>
      <c r="B320" s="48"/>
      <c r="C320" s="48"/>
      <c r="D320" s="48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DV320" s="1"/>
      <c r="DW320" s="1"/>
      <c r="DX320" s="1"/>
    </row>
    <row r="321" spans="1:128" s="2" customFormat="1">
      <c r="A321" s="48"/>
      <c r="B321" s="48"/>
      <c r="C321" s="48"/>
      <c r="D321" s="48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DV321" s="1"/>
      <c r="DW321" s="1"/>
      <c r="DX321" s="1"/>
    </row>
    <row r="322" spans="1:128" s="2" customFormat="1">
      <c r="A322" s="48"/>
      <c r="B322" s="48"/>
      <c r="C322" s="48"/>
      <c r="D322" s="48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DV322" s="1"/>
      <c r="DW322" s="1"/>
      <c r="DX322" s="1"/>
    </row>
    <row r="323" spans="1:128" s="2" customFormat="1">
      <c r="A323" s="48"/>
      <c r="B323" s="48"/>
      <c r="C323" s="48"/>
      <c r="D323" s="48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DV323" s="1"/>
      <c r="DW323" s="1"/>
      <c r="DX323" s="1"/>
    </row>
    <row r="324" spans="1:128" s="2" customFormat="1">
      <c r="A324" s="48"/>
      <c r="B324" s="48"/>
      <c r="C324" s="48"/>
      <c r="D324" s="48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DV324" s="1"/>
      <c r="DW324" s="1"/>
      <c r="DX324" s="1"/>
    </row>
  </sheetData>
  <sheetProtection formatCells="0" formatColumns="0" formatRows="0"/>
  <mergeCells count="238">
    <mergeCell ref="A5:B8"/>
    <mergeCell ref="C5:D5"/>
    <mergeCell ref="E5:AX5"/>
    <mergeCell ref="AY5:DV5"/>
    <mergeCell ref="C6:D7"/>
    <mergeCell ref="E6:F7"/>
    <mergeCell ref="G6:AX6"/>
    <mergeCell ref="AY6:AZ7"/>
    <mergeCell ref="A1:O1"/>
    <mergeCell ref="DQ6:DR7"/>
    <mergeCell ref="DS6:DT7"/>
    <mergeCell ref="DU6:DV7"/>
    <mergeCell ref="G7:H7"/>
    <mergeCell ref="I7:J7"/>
    <mergeCell ref="K7:L7"/>
    <mergeCell ref="M7:N7"/>
    <mergeCell ref="O7:P7"/>
    <mergeCell ref="C2:DV2"/>
    <mergeCell ref="C3:DV3"/>
    <mergeCell ref="AC7:AD7"/>
    <mergeCell ref="AE7:AF7"/>
    <mergeCell ref="AG7:AH7"/>
    <mergeCell ref="AI7:AJ7"/>
    <mergeCell ref="AK7:AL7"/>
    <mergeCell ref="AM7:AN7"/>
    <mergeCell ref="Q7:R7"/>
    <mergeCell ref="S7:T7"/>
    <mergeCell ref="U7:V7"/>
    <mergeCell ref="W7:X7"/>
    <mergeCell ref="Y7:Z7"/>
    <mergeCell ref="AA7:AB7"/>
    <mergeCell ref="BE7:BF7"/>
    <mergeCell ref="BG7:BH7"/>
    <mergeCell ref="BI7:BJ7"/>
    <mergeCell ref="BK7:BL7"/>
    <mergeCell ref="BM7:BN7"/>
    <mergeCell ref="BO7:BP7"/>
    <mergeCell ref="AO7:AP7"/>
    <mergeCell ref="AQ7:AR7"/>
    <mergeCell ref="AS7:AT7"/>
    <mergeCell ref="AU7:AV7"/>
    <mergeCell ref="AW7:AX7"/>
    <mergeCell ref="BC7:BD7"/>
    <mergeCell ref="BA6:BB7"/>
    <mergeCell ref="BC6:DP6"/>
    <mergeCell ref="CC7:CD7"/>
    <mergeCell ref="CE7:CF7"/>
    <mergeCell ref="CG7:CH7"/>
    <mergeCell ref="CI7:CJ7"/>
    <mergeCell ref="CK7:CL7"/>
    <mergeCell ref="CM7:CN7"/>
    <mergeCell ref="BQ7:BR7"/>
    <mergeCell ref="BS7:BT7"/>
    <mergeCell ref="BU7:BV7"/>
    <mergeCell ref="BW7:BX7"/>
    <mergeCell ref="BY7:BZ7"/>
    <mergeCell ref="CA7:CB7"/>
    <mergeCell ref="A14:B14"/>
    <mergeCell ref="A15:B15"/>
    <mergeCell ref="A16:B16"/>
    <mergeCell ref="A17:B17"/>
    <mergeCell ref="A18:B18"/>
    <mergeCell ref="A19:B19"/>
    <mergeCell ref="DM7:DN7"/>
    <mergeCell ref="DO7:DP7"/>
    <mergeCell ref="A9:B9"/>
    <mergeCell ref="A10:B10"/>
    <mergeCell ref="A11:B11"/>
    <mergeCell ref="A13:B13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C113:D113"/>
    <mergeCell ref="E113:F113"/>
    <mergeCell ref="G113:H113"/>
    <mergeCell ref="A102:B102"/>
    <mergeCell ref="A103:B103"/>
    <mergeCell ref="A104:B104"/>
    <mergeCell ref="A105:B105"/>
    <mergeCell ref="A106:B106"/>
    <mergeCell ref="A107:B107"/>
    <mergeCell ref="U113:V113"/>
    <mergeCell ref="W113:X113"/>
    <mergeCell ref="Y113:Z113"/>
    <mergeCell ref="AA113:AB113"/>
    <mergeCell ref="AC113:AD113"/>
    <mergeCell ref="AE113:AF113"/>
    <mergeCell ref="I113:J113"/>
    <mergeCell ref="K113:L113"/>
    <mergeCell ref="M113:N113"/>
    <mergeCell ref="O113:P113"/>
    <mergeCell ref="Q113:R113"/>
    <mergeCell ref="S113:T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DM113:DN113"/>
    <mergeCell ref="DO113:DP113"/>
    <mergeCell ref="DQ113:DR113"/>
    <mergeCell ref="DS113:DT113"/>
    <mergeCell ref="DU113:DV113"/>
    <mergeCell ref="A114:B114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130:B130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ER213"/>
  <sheetViews>
    <sheetView tabSelected="1" view="pageBreakPreview" zoomScale="60" zoomScalePageLayoutView="6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E24" sqref="E24"/>
    </sheetView>
  </sheetViews>
  <sheetFormatPr defaultRowHeight="15"/>
  <cols>
    <col min="1" max="1" width="57.83203125" style="197" customWidth="1"/>
    <col min="2" max="2" width="52.83203125" style="197" customWidth="1"/>
    <col min="3" max="4" width="18" style="8" customWidth="1"/>
    <col min="5" max="5" width="14.83203125" style="8" customWidth="1"/>
    <col min="6" max="6" width="17.83203125" style="8" customWidth="1"/>
    <col min="7" max="8" width="17" style="8" customWidth="1"/>
    <col min="9" max="10" width="17" style="1" customWidth="1"/>
    <col min="11" max="29" width="12.33203125" style="1" customWidth="1"/>
    <col min="30" max="148" width="9.33203125" style="1"/>
    <col min="149" max="16384" width="9.33203125" style="8"/>
  </cols>
  <sheetData>
    <row r="1" spans="1:148" ht="18.75">
      <c r="A1" s="298"/>
      <c r="B1" s="298"/>
      <c r="G1" s="283"/>
      <c r="H1" s="283"/>
    </row>
    <row r="2" spans="1:148" ht="18.75" customHeight="1">
      <c r="A2" s="196"/>
      <c r="B2" s="196"/>
      <c r="G2" s="287"/>
      <c r="H2" s="287"/>
    </row>
    <row r="3" spans="1:148" ht="39" customHeight="1">
      <c r="A3" s="360" t="s">
        <v>190</v>
      </c>
      <c r="B3" s="360"/>
      <c r="C3" s="360"/>
      <c r="D3" s="360"/>
      <c r="E3" s="360"/>
      <c r="F3" s="360"/>
      <c r="G3" s="287"/>
      <c r="H3" s="287"/>
    </row>
    <row r="4" spans="1:148" ht="16.5" customHeight="1">
      <c r="C4" s="286"/>
      <c r="D4" s="286"/>
      <c r="E4" s="286"/>
      <c r="F4" s="286"/>
      <c r="G4" s="287"/>
      <c r="H4" s="287"/>
    </row>
    <row r="5" spans="1:148" ht="30.75" customHeight="1">
      <c r="A5" s="198"/>
      <c r="B5" s="198"/>
      <c r="C5" s="199"/>
      <c r="D5" s="199"/>
      <c r="E5" s="199"/>
      <c r="F5" s="199" t="s">
        <v>184</v>
      </c>
      <c r="G5" s="288"/>
      <c r="H5" s="288"/>
    </row>
    <row r="6" spans="1:148" ht="15.75" customHeight="1">
      <c r="A6" s="293" t="s">
        <v>186</v>
      </c>
      <c r="B6" s="293"/>
      <c r="C6" s="282" t="s">
        <v>192</v>
      </c>
      <c r="D6" s="282"/>
      <c r="E6" s="282"/>
      <c r="F6" s="282"/>
      <c r="G6" s="282"/>
      <c r="H6" s="282"/>
    </row>
    <row r="7" spans="1:148" s="200" customFormat="1" ht="16.5" customHeight="1">
      <c r="A7" s="293"/>
      <c r="B7" s="293"/>
      <c r="C7" s="281" t="s">
        <v>191</v>
      </c>
      <c r="D7" s="281"/>
      <c r="E7" s="281"/>
      <c r="F7" s="281"/>
      <c r="G7" s="290" t="s">
        <v>187</v>
      </c>
      <c r="H7" s="290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8"/>
      <c r="CF7" s="118"/>
      <c r="CG7" s="118"/>
      <c r="CH7" s="118"/>
      <c r="CI7" s="118"/>
      <c r="CJ7" s="118"/>
      <c r="CK7" s="118"/>
      <c r="CL7" s="118"/>
      <c r="CM7" s="118"/>
      <c r="CN7" s="118"/>
      <c r="CO7" s="118"/>
      <c r="CP7" s="118"/>
      <c r="CQ7" s="118"/>
      <c r="CR7" s="118"/>
      <c r="CS7" s="118"/>
      <c r="CT7" s="118"/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  <c r="DQ7" s="118"/>
      <c r="DR7" s="118"/>
      <c r="DS7" s="118"/>
      <c r="DT7" s="118"/>
      <c r="DU7" s="118"/>
      <c r="DV7" s="118"/>
      <c r="DW7" s="118"/>
      <c r="DX7" s="118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18"/>
      <c r="EQ7" s="118"/>
      <c r="ER7" s="118"/>
    </row>
    <row r="8" spans="1:148" s="200" customFormat="1" ht="79.5" customHeight="1">
      <c r="A8" s="293"/>
      <c r="B8" s="293"/>
      <c r="C8" s="281"/>
      <c r="D8" s="281"/>
      <c r="E8" s="289" t="s">
        <v>193</v>
      </c>
      <c r="F8" s="289"/>
      <c r="G8" s="290"/>
      <c r="H8" s="290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  <c r="BO8" s="118"/>
      <c r="BP8" s="118"/>
      <c r="BQ8" s="118"/>
      <c r="BR8" s="118"/>
      <c r="BS8" s="118"/>
      <c r="BT8" s="118"/>
      <c r="BU8" s="118"/>
      <c r="BV8" s="118"/>
      <c r="BW8" s="118"/>
      <c r="BX8" s="118"/>
      <c r="BY8" s="118"/>
      <c r="BZ8" s="118"/>
      <c r="CA8" s="118"/>
      <c r="CB8" s="118"/>
      <c r="CC8" s="118"/>
      <c r="CD8" s="118"/>
      <c r="CE8" s="118"/>
      <c r="CF8" s="118"/>
      <c r="CG8" s="118"/>
      <c r="CH8" s="118"/>
      <c r="CI8" s="118"/>
      <c r="CJ8" s="118"/>
      <c r="CK8" s="118"/>
      <c r="CL8" s="118"/>
      <c r="CM8" s="118"/>
      <c r="CN8" s="118"/>
      <c r="CO8" s="118"/>
      <c r="CP8" s="118"/>
      <c r="CQ8" s="118"/>
      <c r="CR8" s="118"/>
      <c r="CS8" s="118"/>
      <c r="CT8" s="118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  <c r="DG8" s="118"/>
      <c r="DH8" s="118"/>
      <c r="DI8" s="118"/>
      <c r="DJ8" s="118"/>
      <c r="DK8" s="118"/>
      <c r="DL8" s="118"/>
      <c r="DM8" s="118"/>
      <c r="DN8" s="118"/>
      <c r="DO8" s="118"/>
      <c r="DP8" s="118"/>
      <c r="DQ8" s="118"/>
      <c r="DR8" s="118"/>
      <c r="DS8" s="118"/>
      <c r="DT8" s="118"/>
      <c r="DU8" s="118"/>
      <c r="DV8" s="118"/>
      <c r="DW8" s="118"/>
      <c r="DX8" s="118"/>
      <c r="DY8" s="118"/>
      <c r="DZ8" s="118"/>
      <c r="EA8" s="118"/>
      <c r="EB8" s="118"/>
      <c r="EC8" s="118"/>
      <c r="ED8" s="118"/>
      <c r="EE8" s="118"/>
      <c r="EF8" s="118"/>
      <c r="EG8" s="118"/>
      <c r="EH8" s="118"/>
      <c r="EI8" s="118"/>
      <c r="EJ8" s="118"/>
      <c r="EK8" s="118"/>
      <c r="EL8" s="118"/>
      <c r="EM8" s="118"/>
      <c r="EN8" s="118"/>
      <c r="EO8" s="118"/>
      <c r="EP8" s="118"/>
      <c r="EQ8" s="118"/>
      <c r="ER8" s="118"/>
    </row>
    <row r="9" spans="1:148" s="201" customFormat="1" ht="52.5" customHeight="1">
      <c r="A9" s="293"/>
      <c r="B9" s="293"/>
      <c r="C9" s="294" t="s">
        <v>185</v>
      </c>
      <c r="D9" s="295"/>
      <c r="E9" s="294" t="s">
        <v>185</v>
      </c>
      <c r="F9" s="295"/>
      <c r="G9" s="294" t="s">
        <v>185</v>
      </c>
      <c r="H9" s="29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</row>
    <row r="10" spans="1:148" s="203" customFormat="1" ht="32.25" customHeight="1">
      <c r="A10" s="291" t="s">
        <v>188</v>
      </c>
      <c r="B10" s="292"/>
      <c r="C10" s="299">
        <f>SUM(C11:C23)</f>
        <v>1176680.5410000002</v>
      </c>
      <c r="D10" s="300"/>
      <c r="E10" s="299">
        <f>SUM(E11:E23)</f>
        <v>716563.745</v>
      </c>
      <c r="F10" s="300"/>
      <c r="G10" s="296">
        <f>IF($C10=0,1,E10/$C10)</f>
        <v>0.60897050646476181</v>
      </c>
      <c r="H10" s="297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  <c r="ER10" s="202"/>
    </row>
    <row r="11" spans="1:148" s="203" customFormat="1" ht="45" customHeight="1">
      <c r="A11" s="284" t="s">
        <v>172</v>
      </c>
      <c r="B11" s="285"/>
      <c r="C11" s="301">
        <v>60762.942999999999</v>
      </c>
      <c r="D11" s="302"/>
      <c r="E11" s="301">
        <v>46712.802000000003</v>
      </c>
      <c r="F11" s="302"/>
      <c r="G11" s="279">
        <f>IF($C11=0,1,E11/$C11)</f>
        <v>0.76877122294751266</v>
      </c>
      <c r="H11" s="280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  <c r="ER11" s="202"/>
    </row>
    <row r="12" spans="1:148" s="203" customFormat="1" ht="45" customHeight="1">
      <c r="A12" s="284" t="s">
        <v>173</v>
      </c>
      <c r="B12" s="285"/>
      <c r="C12" s="301">
        <v>1891.4</v>
      </c>
      <c r="D12" s="302"/>
      <c r="E12" s="301">
        <v>1418.55</v>
      </c>
      <c r="F12" s="302"/>
      <c r="G12" s="279">
        <f>IF($C12=0,1,E12/$C12)</f>
        <v>0.74999999999999989</v>
      </c>
      <c r="H12" s="280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  <c r="ER12" s="202"/>
    </row>
    <row r="13" spans="1:148" s="203" customFormat="1" ht="45" customHeight="1">
      <c r="A13" s="284" t="s">
        <v>183</v>
      </c>
      <c r="B13" s="285"/>
      <c r="C13" s="301">
        <v>0</v>
      </c>
      <c r="D13" s="302"/>
      <c r="E13" s="301">
        <v>0</v>
      </c>
      <c r="F13" s="302"/>
      <c r="G13" s="279">
        <f>IF($C13=0,1,E13/$C13)</f>
        <v>1</v>
      </c>
      <c r="H13" s="280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  <c r="ER13" s="202"/>
    </row>
    <row r="14" spans="1:148" s="208" customFormat="1" ht="45" customHeight="1">
      <c r="A14" s="284" t="s">
        <v>174</v>
      </c>
      <c r="B14" s="285"/>
      <c r="C14" s="301">
        <v>3256.52</v>
      </c>
      <c r="D14" s="302"/>
      <c r="E14" s="301">
        <v>1430.51</v>
      </c>
      <c r="F14" s="302"/>
      <c r="G14" s="279">
        <f t="shared" ref="G14:G23" si="0">IF($C14=0,1,E14/$C14)</f>
        <v>0.43927566850502991</v>
      </c>
      <c r="H14" s="280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207"/>
      <c r="BN14" s="207"/>
      <c r="BO14" s="207"/>
      <c r="BP14" s="207"/>
      <c r="BQ14" s="207"/>
      <c r="BR14" s="207"/>
      <c r="BS14" s="207"/>
      <c r="BT14" s="207"/>
      <c r="BU14" s="207"/>
      <c r="BV14" s="207"/>
      <c r="BW14" s="207"/>
      <c r="BX14" s="207"/>
      <c r="BY14" s="207"/>
      <c r="BZ14" s="207"/>
      <c r="CA14" s="207"/>
      <c r="CB14" s="207"/>
      <c r="CC14" s="207"/>
      <c r="CD14" s="207"/>
      <c r="CE14" s="207"/>
      <c r="CF14" s="207"/>
      <c r="CG14" s="207"/>
      <c r="CH14" s="207"/>
      <c r="CI14" s="207"/>
      <c r="CJ14" s="207"/>
      <c r="CK14" s="207"/>
      <c r="CL14" s="207"/>
      <c r="CM14" s="207"/>
      <c r="CN14" s="207"/>
      <c r="CO14" s="207"/>
      <c r="CP14" s="207"/>
      <c r="CQ14" s="207"/>
      <c r="CR14" s="207"/>
      <c r="CS14" s="207"/>
      <c r="CT14" s="207"/>
      <c r="CU14" s="207"/>
      <c r="CV14" s="207"/>
      <c r="CW14" s="207"/>
      <c r="CX14" s="207"/>
      <c r="CY14" s="207"/>
      <c r="CZ14" s="207"/>
      <c r="DA14" s="207"/>
      <c r="DB14" s="207"/>
      <c r="DC14" s="207"/>
      <c r="DD14" s="207"/>
      <c r="DE14" s="207"/>
      <c r="DF14" s="207"/>
      <c r="DG14" s="207"/>
      <c r="DH14" s="207"/>
      <c r="DI14" s="207"/>
      <c r="DJ14" s="207"/>
      <c r="DK14" s="207"/>
      <c r="DL14" s="207"/>
      <c r="DM14" s="207"/>
      <c r="DN14" s="207"/>
      <c r="DO14" s="207"/>
      <c r="DP14" s="207"/>
      <c r="DQ14" s="207"/>
      <c r="DR14" s="207"/>
      <c r="DS14" s="207"/>
      <c r="DT14" s="207"/>
      <c r="DU14" s="207"/>
      <c r="DV14" s="207"/>
      <c r="DW14" s="207"/>
      <c r="DX14" s="207"/>
      <c r="DY14" s="207"/>
      <c r="DZ14" s="207"/>
      <c r="EA14" s="207"/>
      <c r="EB14" s="207"/>
      <c r="EC14" s="207"/>
      <c r="ED14" s="207"/>
      <c r="EE14" s="207"/>
      <c r="EF14" s="207"/>
      <c r="EG14" s="207"/>
      <c r="EH14" s="207"/>
      <c r="EI14" s="207"/>
      <c r="EJ14" s="207"/>
      <c r="EK14" s="207"/>
      <c r="EL14" s="207"/>
      <c r="EM14" s="207"/>
      <c r="EN14" s="207"/>
      <c r="EO14" s="207"/>
      <c r="EP14" s="207"/>
      <c r="EQ14" s="207"/>
      <c r="ER14" s="207"/>
    </row>
    <row r="15" spans="1:148" s="205" customFormat="1" ht="45" customHeight="1">
      <c r="A15" s="284" t="s">
        <v>175</v>
      </c>
      <c r="B15" s="285"/>
      <c r="C15" s="301">
        <v>200030.12400000001</v>
      </c>
      <c r="D15" s="302"/>
      <c r="E15" s="301">
        <v>60434.296000000002</v>
      </c>
      <c r="F15" s="302"/>
      <c r="G15" s="279">
        <f>IF($C15=0,1,E15/$C15)</f>
        <v>0.30212597378582839</v>
      </c>
      <c r="H15" s="280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  <c r="BP15" s="204"/>
      <c r="BQ15" s="204"/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204"/>
      <c r="DO15" s="204"/>
      <c r="DP15" s="204"/>
      <c r="DQ15" s="204"/>
      <c r="DR15" s="204"/>
      <c r="DS15" s="204"/>
      <c r="DT15" s="204"/>
      <c r="DU15" s="204"/>
      <c r="DV15" s="204"/>
      <c r="DW15" s="204"/>
      <c r="DX15" s="204"/>
      <c r="DY15" s="204"/>
      <c r="DZ15" s="204"/>
      <c r="EA15" s="204"/>
      <c r="EB15" s="204"/>
      <c r="EC15" s="204"/>
      <c r="ED15" s="204"/>
      <c r="EE15" s="204"/>
      <c r="EF15" s="204"/>
      <c r="EG15" s="204"/>
      <c r="EH15" s="204"/>
      <c r="EI15" s="204"/>
      <c r="EJ15" s="204"/>
      <c r="EK15" s="204"/>
      <c r="EL15" s="204"/>
      <c r="EM15" s="204"/>
      <c r="EN15" s="204"/>
      <c r="EO15" s="204"/>
      <c r="EP15" s="204"/>
      <c r="EQ15" s="204"/>
      <c r="ER15" s="204"/>
    </row>
    <row r="16" spans="1:148" s="205" customFormat="1" ht="45" customHeight="1">
      <c r="A16" s="284" t="s">
        <v>189</v>
      </c>
      <c r="B16" s="285"/>
      <c r="C16" s="301">
        <v>0</v>
      </c>
      <c r="D16" s="302"/>
      <c r="E16" s="301">
        <v>0</v>
      </c>
      <c r="F16" s="302"/>
      <c r="G16" s="279">
        <f>IF($C16=0,1,E16/$C16)</f>
        <v>1</v>
      </c>
      <c r="H16" s="280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204"/>
      <c r="BN16" s="204"/>
      <c r="BO16" s="204"/>
      <c r="BP16" s="204"/>
      <c r="BQ16" s="204"/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04"/>
      <c r="DZ16" s="204"/>
      <c r="EA16" s="204"/>
      <c r="EB16" s="204"/>
      <c r="EC16" s="204"/>
      <c r="ED16" s="204"/>
      <c r="EE16" s="204"/>
      <c r="EF16" s="204"/>
      <c r="EG16" s="204"/>
      <c r="EH16" s="204"/>
      <c r="EI16" s="204"/>
      <c r="EJ16" s="204"/>
      <c r="EK16" s="204"/>
      <c r="EL16" s="204"/>
      <c r="EM16" s="204"/>
      <c r="EN16" s="204"/>
      <c r="EO16" s="204"/>
      <c r="EP16" s="204"/>
      <c r="EQ16" s="204"/>
      <c r="ER16" s="204"/>
    </row>
    <row r="17" spans="1:148" s="208" customFormat="1" ht="45" customHeight="1">
      <c r="A17" s="284" t="s">
        <v>176</v>
      </c>
      <c r="B17" s="285"/>
      <c r="C17" s="301">
        <v>799104.56700000004</v>
      </c>
      <c r="D17" s="302"/>
      <c r="E17" s="301">
        <v>535101.91700000002</v>
      </c>
      <c r="F17" s="302"/>
      <c r="G17" s="279">
        <f t="shared" si="0"/>
        <v>0.66962690378417022</v>
      </c>
      <c r="H17" s="280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207"/>
      <c r="CM17" s="207"/>
      <c r="CN17" s="207"/>
      <c r="CO17" s="207"/>
      <c r="CP17" s="207"/>
      <c r="CQ17" s="207"/>
      <c r="CR17" s="207"/>
      <c r="CS17" s="207"/>
      <c r="CT17" s="207"/>
      <c r="CU17" s="207"/>
      <c r="CV17" s="207"/>
      <c r="CW17" s="207"/>
      <c r="CX17" s="207"/>
      <c r="CY17" s="207"/>
      <c r="CZ17" s="207"/>
      <c r="DA17" s="207"/>
      <c r="DB17" s="207"/>
      <c r="DC17" s="207"/>
      <c r="DD17" s="207"/>
      <c r="DE17" s="207"/>
      <c r="DF17" s="207"/>
      <c r="DG17" s="207"/>
      <c r="DH17" s="207"/>
      <c r="DI17" s="207"/>
      <c r="DJ17" s="207"/>
      <c r="DK17" s="207"/>
      <c r="DL17" s="207"/>
      <c r="DM17" s="207"/>
      <c r="DN17" s="207"/>
      <c r="DO17" s="207"/>
      <c r="DP17" s="207"/>
      <c r="DQ17" s="207"/>
      <c r="DR17" s="207"/>
      <c r="DS17" s="207"/>
      <c r="DT17" s="207"/>
      <c r="DU17" s="207"/>
      <c r="DV17" s="207"/>
      <c r="DW17" s="207"/>
      <c r="DX17" s="207"/>
      <c r="DY17" s="207"/>
      <c r="DZ17" s="207"/>
      <c r="EA17" s="207"/>
      <c r="EB17" s="207"/>
      <c r="EC17" s="207"/>
      <c r="ED17" s="207"/>
      <c r="EE17" s="207"/>
      <c r="EF17" s="207"/>
      <c r="EG17" s="207"/>
      <c r="EH17" s="207"/>
      <c r="EI17" s="207"/>
      <c r="EJ17" s="207"/>
      <c r="EK17" s="207"/>
      <c r="EL17" s="207"/>
      <c r="EM17" s="207"/>
      <c r="EN17" s="207"/>
      <c r="EO17" s="207"/>
      <c r="EP17" s="207"/>
      <c r="EQ17" s="207"/>
      <c r="ER17" s="207"/>
    </row>
    <row r="18" spans="1:148" s="208" customFormat="1" ht="45" customHeight="1">
      <c r="A18" s="284" t="s">
        <v>177</v>
      </c>
      <c r="B18" s="285"/>
      <c r="C18" s="301">
        <v>36903.067000000003</v>
      </c>
      <c r="D18" s="302"/>
      <c r="E18" s="301">
        <v>25130.922999999999</v>
      </c>
      <c r="F18" s="302"/>
      <c r="G18" s="279">
        <f t="shared" si="0"/>
        <v>0.68099822163832613</v>
      </c>
      <c r="H18" s="280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207"/>
      <c r="BN18" s="207"/>
      <c r="BO18" s="207"/>
      <c r="BP18" s="207"/>
      <c r="BQ18" s="207"/>
      <c r="BR18" s="207"/>
      <c r="BS18" s="207"/>
      <c r="BT18" s="207"/>
      <c r="BU18" s="207"/>
      <c r="BV18" s="207"/>
      <c r="BW18" s="207"/>
      <c r="BX18" s="207"/>
      <c r="BY18" s="207"/>
      <c r="BZ18" s="207"/>
      <c r="CA18" s="207"/>
      <c r="CB18" s="207"/>
      <c r="CC18" s="207"/>
      <c r="CD18" s="207"/>
      <c r="CE18" s="207"/>
      <c r="CF18" s="207"/>
      <c r="CG18" s="207"/>
      <c r="CH18" s="207"/>
      <c r="CI18" s="207"/>
      <c r="CJ18" s="207"/>
      <c r="CK18" s="207"/>
      <c r="CL18" s="207"/>
      <c r="CM18" s="207"/>
      <c r="CN18" s="207"/>
      <c r="CO18" s="207"/>
      <c r="CP18" s="207"/>
      <c r="CQ18" s="207"/>
      <c r="CR18" s="207"/>
      <c r="CS18" s="207"/>
      <c r="CT18" s="207"/>
      <c r="CU18" s="207"/>
      <c r="CV18" s="207"/>
      <c r="CW18" s="207"/>
      <c r="CX18" s="207"/>
      <c r="CY18" s="207"/>
      <c r="CZ18" s="207"/>
      <c r="DA18" s="207"/>
      <c r="DB18" s="207"/>
      <c r="DC18" s="207"/>
      <c r="DD18" s="207"/>
      <c r="DE18" s="207"/>
      <c r="DF18" s="207"/>
      <c r="DG18" s="207"/>
      <c r="DH18" s="207"/>
      <c r="DI18" s="207"/>
      <c r="DJ18" s="207"/>
      <c r="DK18" s="207"/>
      <c r="DL18" s="207"/>
      <c r="DM18" s="207"/>
      <c r="DN18" s="207"/>
      <c r="DO18" s="207"/>
      <c r="DP18" s="207"/>
      <c r="DQ18" s="207"/>
      <c r="DR18" s="207"/>
      <c r="DS18" s="207"/>
      <c r="DT18" s="207"/>
      <c r="DU18" s="207"/>
      <c r="DV18" s="207"/>
      <c r="DW18" s="207"/>
      <c r="DX18" s="207"/>
      <c r="DY18" s="207"/>
      <c r="DZ18" s="207"/>
      <c r="EA18" s="207"/>
      <c r="EB18" s="207"/>
      <c r="EC18" s="207"/>
      <c r="ED18" s="207"/>
      <c r="EE18" s="207"/>
      <c r="EF18" s="207"/>
      <c r="EG18" s="207"/>
      <c r="EH18" s="207"/>
      <c r="EI18" s="207"/>
      <c r="EJ18" s="207"/>
      <c r="EK18" s="207"/>
      <c r="EL18" s="207"/>
      <c r="EM18" s="207"/>
      <c r="EN18" s="207"/>
      <c r="EO18" s="207"/>
      <c r="EP18" s="207"/>
      <c r="EQ18" s="207"/>
      <c r="ER18" s="207"/>
    </row>
    <row r="19" spans="1:148" s="208" customFormat="1" ht="45" customHeight="1">
      <c r="A19" s="284" t="s">
        <v>178</v>
      </c>
      <c r="B19" s="285"/>
      <c r="C19" s="301">
        <v>39811.375</v>
      </c>
      <c r="D19" s="302"/>
      <c r="E19" s="303">
        <v>22698.628000000001</v>
      </c>
      <c r="F19" s="304"/>
      <c r="G19" s="279">
        <f t="shared" si="0"/>
        <v>0.57015433403141691</v>
      </c>
      <c r="H19" s="280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07"/>
      <c r="BZ19" s="207"/>
      <c r="CA19" s="207"/>
      <c r="CB19" s="207"/>
      <c r="CC19" s="207"/>
      <c r="CD19" s="207"/>
      <c r="CE19" s="207"/>
      <c r="CF19" s="207"/>
      <c r="CG19" s="207"/>
      <c r="CH19" s="207"/>
      <c r="CI19" s="207"/>
      <c r="CJ19" s="207"/>
      <c r="CK19" s="207"/>
      <c r="CL19" s="207"/>
      <c r="CM19" s="207"/>
      <c r="CN19" s="207"/>
      <c r="CO19" s="207"/>
      <c r="CP19" s="207"/>
      <c r="CQ19" s="207"/>
      <c r="CR19" s="207"/>
      <c r="CS19" s="207"/>
      <c r="CT19" s="207"/>
      <c r="CU19" s="207"/>
      <c r="CV19" s="207"/>
      <c r="CW19" s="207"/>
      <c r="CX19" s="207"/>
      <c r="CY19" s="207"/>
      <c r="CZ19" s="207"/>
      <c r="DA19" s="207"/>
      <c r="DB19" s="207"/>
      <c r="DC19" s="207"/>
      <c r="DD19" s="207"/>
      <c r="DE19" s="207"/>
      <c r="DF19" s="207"/>
      <c r="DG19" s="207"/>
      <c r="DH19" s="207"/>
      <c r="DI19" s="207"/>
      <c r="DJ19" s="207"/>
      <c r="DK19" s="207"/>
      <c r="DL19" s="207"/>
      <c r="DM19" s="207"/>
      <c r="DN19" s="207"/>
      <c r="DO19" s="207"/>
      <c r="DP19" s="207"/>
      <c r="DQ19" s="207"/>
      <c r="DR19" s="207"/>
      <c r="DS19" s="207"/>
      <c r="DT19" s="207"/>
      <c r="DU19" s="207"/>
      <c r="DV19" s="207"/>
      <c r="DW19" s="207"/>
      <c r="DX19" s="207"/>
      <c r="DY19" s="207"/>
      <c r="DZ19" s="207"/>
      <c r="EA19" s="207"/>
      <c r="EB19" s="207"/>
      <c r="EC19" s="207"/>
      <c r="ED19" s="207"/>
      <c r="EE19" s="207"/>
      <c r="EF19" s="207"/>
      <c r="EG19" s="207"/>
      <c r="EH19" s="207"/>
      <c r="EI19" s="207"/>
      <c r="EJ19" s="207"/>
      <c r="EK19" s="207"/>
      <c r="EL19" s="207"/>
      <c r="EM19" s="207"/>
      <c r="EN19" s="207"/>
      <c r="EO19" s="207"/>
      <c r="EP19" s="207"/>
      <c r="EQ19" s="207"/>
      <c r="ER19" s="207"/>
    </row>
    <row r="20" spans="1:148" s="208" customFormat="1" ht="45" customHeight="1">
      <c r="A20" s="284" t="s">
        <v>179</v>
      </c>
      <c r="B20" s="285"/>
      <c r="C20" s="301">
        <v>280</v>
      </c>
      <c r="D20" s="302"/>
      <c r="E20" s="301">
        <v>138.607</v>
      </c>
      <c r="F20" s="302"/>
      <c r="G20" s="279">
        <f t="shared" si="0"/>
        <v>0.49502499999999999</v>
      </c>
      <c r="H20" s="280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7"/>
      <c r="BN20" s="207"/>
      <c r="BO20" s="207"/>
      <c r="BP20" s="207"/>
      <c r="BQ20" s="207"/>
      <c r="BR20" s="207"/>
      <c r="BS20" s="207"/>
      <c r="BT20" s="207"/>
      <c r="BU20" s="207"/>
      <c r="BV20" s="207"/>
      <c r="BW20" s="207"/>
      <c r="BX20" s="207"/>
      <c r="BY20" s="207"/>
      <c r="BZ20" s="207"/>
      <c r="CA20" s="207"/>
      <c r="CB20" s="207"/>
      <c r="CC20" s="207"/>
      <c r="CD20" s="207"/>
      <c r="CE20" s="207"/>
      <c r="CF20" s="207"/>
      <c r="CG20" s="207"/>
      <c r="CH20" s="207"/>
      <c r="CI20" s="207"/>
      <c r="CJ20" s="207"/>
      <c r="CK20" s="207"/>
      <c r="CL20" s="207"/>
      <c r="CM20" s="207"/>
      <c r="CN20" s="207"/>
      <c r="CO20" s="207"/>
      <c r="CP20" s="207"/>
      <c r="CQ20" s="207"/>
      <c r="CR20" s="207"/>
      <c r="CS20" s="207"/>
      <c r="CT20" s="207"/>
      <c r="CU20" s="207"/>
      <c r="CV20" s="207"/>
      <c r="CW20" s="207"/>
      <c r="CX20" s="207"/>
      <c r="CY20" s="207"/>
      <c r="CZ20" s="207"/>
      <c r="DA20" s="207"/>
      <c r="DB20" s="207"/>
      <c r="DC20" s="207"/>
      <c r="DD20" s="207"/>
      <c r="DE20" s="207"/>
      <c r="DF20" s="207"/>
      <c r="DG20" s="207"/>
      <c r="DH20" s="207"/>
      <c r="DI20" s="207"/>
      <c r="DJ20" s="207"/>
      <c r="DK20" s="207"/>
      <c r="DL20" s="207"/>
      <c r="DM20" s="207"/>
      <c r="DN20" s="207"/>
      <c r="DO20" s="207"/>
      <c r="DP20" s="207"/>
      <c r="DQ20" s="207"/>
      <c r="DR20" s="207"/>
      <c r="DS20" s="207"/>
      <c r="DT20" s="207"/>
      <c r="DU20" s="207"/>
      <c r="DV20" s="207"/>
      <c r="DW20" s="207"/>
      <c r="DX20" s="207"/>
      <c r="DY20" s="207"/>
      <c r="DZ20" s="207"/>
      <c r="EA20" s="207"/>
      <c r="EB20" s="207"/>
      <c r="EC20" s="207"/>
      <c r="ED20" s="207"/>
      <c r="EE20" s="207"/>
      <c r="EF20" s="207"/>
      <c r="EG20" s="207"/>
      <c r="EH20" s="207"/>
      <c r="EI20" s="207"/>
      <c r="EJ20" s="207"/>
      <c r="EK20" s="207"/>
      <c r="EL20" s="207"/>
      <c r="EM20" s="207"/>
      <c r="EN20" s="207"/>
      <c r="EO20" s="207"/>
      <c r="EP20" s="207"/>
      <c r="EQ20" s="207"/>
      <c r="ER20" s="207"/>
    </row>
    <row r="21" spans="1:148" s="208" customFormat="1" ht="45" customHeight="1">
      <c r="A21" s="284" t="s">
        <v>180</v>
      </c>
      <c r="B21" s="285"/>
      <c r="C21" s="301">
        <v>1297.0999999999999</v>
      </c>
      <c r="D21" s="302"/>
      <c r="E21" s="301">
        <v>756.64400000000001</v>
      </c>
      <c r="F21" s="302"/>
      <c r="G21" s="279">
        <f t="shared" si="0"/>
        <v>0.58333513221802491</v>
      </c>
      <c r="H21" s="280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  <c r="BX21" s="207"/>
      <c r="BY21" s="207"/>
      <c r="BZ21" s="207"/>
      <c r="CA21" s="207"/>
      <c r="CB21" s="207"/>
      <c r="CC21" s="207"/>
      <c r="CD21" s="207"/>
      <c r="CE21" s="207"/>
      <c r="CF21" s="207"/>
      <c r="CG21" s="207"/>
      <c r="CH21" s="207"/>
      <c r="CI21" s="207"/>
      <c r="CJ21" s="207"/>
      <c r="CK21" s="207"/>
      <c r="CL21" s="207"/>
      <c r="CM21" s="207"/>
      <c r="CN21" s="207"/>
      <c r="CO21" s="207"/>
      <c r="CP21" s="207"/>
      <c r="CQ21" s="207"/>
      <c r="CR21" s="207"/>
      <c r="CS21" s="207"/>
      <c r="CT21" s="207"/>
      <c r="CU21" s="207"/>
      <c r="CV21" s="207"/>
      <c r="CW21" s="207"/>
      <c r="CX21" s="207"/>
      <c r="CY21" s="207"/>
      <c r="CZ21" s="207"/>
      <c r="DA21" s="207"/>
      <c r="DB21" s="207"/>
      <c r="DC21" s="207"/>
      <c r="DD21" s="207"/>
      <c r="DE21" s="207"/>
      <c r="DF21" s="207"/>
      <c r="DG21" s="207"/>
      <c r="DH21" s="207"/>
      <c r="DI21" s="207"/>
      <c r="DJ21" s="207"/>
      <c r="DK21" s="207"/>
      <c r="DL21" s="207"/>
      <c r="DM21" s="207"/>
      <c r="DN21" s="207"/>
      <c r="DO21" s="207"/>
      <c r="DP21" s="207"/>
      <c r="DQ21" s="207"/>
      <c r="DR21" s="207"/>
      <c r="DS21" s="207"/>
      <c r="DT21" s="207"/>
      <c r="DU21" s="207"/>
      <c r="DV21" s="207"/>
      <c r="DW21" s="207"/>
      <c r="DX21" s="207"/>
      <c r="DY21" s="207"/>
      <c r="DZ21" s="207"/>
      <c r="EA21" s="207"/>
      <c r="EB21" s="207"/>
      <c r="EC21" s="207"/>
      <c r="ED21" s="207"/>
      <c r="EE21" s="207"/>
      <c r="EF21" s="207"/>
      <c r="EG21" s="207"/>
      <c r="EH21" s="207"/>
      <c r="EI21" s="207"/>
      <c r="EJ21" s="207"/>
      <c r="EK21" s="207"/>
      <c r="EL21" s="207"/>
      <c r="EM21" s="207"/>
      <c r="EN21" s="207"/>
      <c r="EO21" s="207"/>
      <c r="EP21" s="207"/>
      <c r="EQ21" s="207"/>
      <c r="ER21" s="207"/>
    </row>
    <row r="22" spans="1:148" s="208" customFormat="1" ht="45" customHeight="1">
      <c r="A22" s="284" t="s">
        <v>181</v>
      </c>
      <c r="B22" s="285"/>
      <c r="C22" s="301">
        <v>3214</v>
      </c>
      <c r="D22" s="302"/>
      <c r="E22" s="301">
        <v>1331.155</v>
      </c>
      <c r="F22" s="302"/>
      <c r="G22" s="279">
        <f t="shared" si="0"/>
        <v>0.41417392657125079</v>
      </c>
      <c r="H22" s="280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7"/>
      <c r="BN22" s="207"/>
      <c r="BO22" s="207"/>
      <c r="BP22" s="207"/>
      <c r="BQ22" s="207"/>
      <c r="BR22" s="207"/>
      <c r="BS22" s="207"/>
      <c r="BT22" s="207"/>
      <c r="BU22" s="207"/>
      <c r="BV22" s="207"/>
      <c r="BW22" s="207"/>
      <c r="BX22" s="207"/>
      <c r="BY22" s="207"/>
      <c r="BZ22" s="207"/>
      <c r="CA22" s="207"/>
      <c r="CB22" s="207"/>
      <c r="CC22" s="207"/>
      <c r="CD22" s="207"/>
      <c r="CE22" s="207"/>
      <c r="CF22" s="207"/>
      <c r="CG22" s="207"/>
      <c r="CH22" s="207"/>
      <c r="CI22" s="207"/>
      <c r="CJ22" s="207"/>
      <c r="CK22" s="207"/>
      <c r="CL22" s="207"/>
      <c r="CM22" s="207"/>
      <c r="CN22" s="207"/>
      <c r="CO22" s="207"/>
      <c r="CP22" s="207"/>
      <c r="CQ22" s="207"/>
      <c r="CR22" s="207"/>
      <c r="CS22" s="207"/>
      <c r="CT22" s="207"/>
      <c r="CU22" s="207"/>
      <c r="CV22" s="207"/>
      <c r="CW22" s="207"/>
      <c r="CX22" s="207"/>
      <c r="CY22" s="207"/>
      <c r="CZ22" s="207"/>
      <c r="DA22" s="207"/>
      <c r="DB22" s="207"/>
      <c r="DC22" s="207"/>
      <c r="DD22" s="207"/>
      <c r="DE22" s="207"/>
      <c r="DF22" s="207"/>
      <c r="DG22" s="207"/>
      <c r="DH22" s="207"/>
      <c r="DI22" s="207"/>
      <c r="DJ22" s="207"/>
      <c r="DK22" s="207"/>
      <c r="DL22" s="207"/>
      <c r="DM22" s="207"/>
      <c r="DN22" s="207"/>
      <c r="DO22" s="207"/>
      <c r="DP22" s="207"/>
      <c r="DQ22" s="207"/>
      <c r="DR22" s="207"/>
      <c r="DS22" s="207"/>
      <c r="DT22" s="207"/>
      <c r="DU22" s="207"/>
      <c r="DV22" s="207"/>
      <c r="DW22" s="207"/>
      <c r="DX22" s="207"/>
      <c r="DY22" s="207"/>
      <c r="DZ22" s="207"/>
      <c r="EA22" s="207"/>
      <c r="EB22" s="207"/>
      <c r="EC22" s="207"/>
      <c r="ED22" s="207"/>
      <c r="EE22" s="207"/>
      <c r="EF22" s="207"/>
      <c r="EG22" s="207"/>
      <c r="EH22" s="207"/>
      <c r="EI22" s="207"/>
      <c r="EJ22" s="207"/>
      <c r="EK22" s="207"/>
      <c r="EL22" s="207"/>
      <c r="EM22" s="207"/>
      <c r="EN22" s="207"/>
      <c r="EO22" s="207"/>
      <c r="EP22" s="207"/>
      <c r="EQ22" s="207"/>
      <c r="ER22" s="207"/>
    </row>
    <row r="23" spans="1:148" s="208" customFormat="1" ht="75.75" customHeight="1">
      <c r="A23" s="284" t="s">
        <v>182</v>
      </c>
      <c r="B23" s="285"/>
      <c r="C23" s="301">
        <v>30129.445</v>
      </c>
      <c r="D23" s="302"/>
      <c r="E23" s="301">
        <v>21409.713</v>
      </c>
      <c r="F23" s="302"/>
      <c r="G23" s="279">
        <f t="shared" si="0"/>
        <v>0.71059101818835357</v>
      </c>
      <c r="H23" s="280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07"/>
      <c r="BN23" s="207"/>
      <c r="BO23" s="207"/>
      <c r="BP23" s="207"/>
      <c r="BQ23" s="207"/>
      <c r="BR23" s="207"/>
      <c r="BS23" s="207"/>
      <c r="BT23" s="207"/>
      <c r="BU23" s="207"/>
      <c r="BV23" s="207"/>
      <c r="BW23" s="207"/>
      <c r="BX23" s="207"/>
      <c r="BY23" s="207"/>
      <c r="BZ23" s="207"/>
      <c r="CA23" s="207"/>
      <c r="CB23" s="207"/>
      <c r="CC23" s="207"/>
      <c r="CD23" s="207"/>
      <c r="CE23" s="207"/>
      <c r="CF23" s="207"/>
      <c r="CG23" s="207"/>
      <c r="CH23" s="207"/>
      <c r="CI23" s="207"/>
      <c r="CJ23" s="207"/>
      <c r="CK23" s="207"/>
      <c r="CL23" s="207"/>
      <c r="CM23" s="207"/>
      <c r="CN23" s="207"/>
      <c r="CO23" s="207"/>
      <c r="CP23" s="207"/>
      <c r="CQ23" s="207"/>
      <c r="CR23" s="207"/>
      <c r="CS23" s="207"/>
      <c r="CT23" s="207"/>
      <c r="CU23" s="207"/>
      <c r="CV23" s="207"/>
      <c r="CW23" s="207"/>
      <c r="CX23" s="207"/>
      <c r="CY23" s="207"/>
      <c r="CZ23" s="207"/>
      <c r="DA23" s="207"/>
      <c r="DB23" s="207"/>
      <c r="DC23" s="207"/>
      <c r="DD23" s="207"/>
      <c r="DE23" s="207"/>
      <c r="DF23" s="207"/>
      <c r="DG23" s="207"/>
      <c r="DH23" s="207"/>
      <c r="DI23" s="207"/>
      <c r="DJ23" s="207"/>
      <c r="DK23" s="207"/>
      <c r="DL23" s="207"/>
      <c r="DM23" s="207"/>
      <c r="DN23" s="207"/>
      <c r="DO23" s="207"/>
      <c r="DP23" s="207"/>
      <c r="DQ23" s="207"/>
      <c r="DR23" s="207"/>
      <c r="DS23" s="207"/>
      <c r="DT23" s="207"/>
      <c r="DU23" s="207"/>
      <c r="DV23" s="207"/>
      <c r="DW23" s="207"/>
      <c r="DX23" s="207"/>
      <c r="DY23" s="207"/>
      <c r="DZ23" s="207"/>
      <c r="EA23" s="207"/>
      <c r="EB23" s="207"/>
      <c r="EC23" s="207"/>
      <c r="ED23" s="207"/>
      <c r="EE23" s="207"/>
      <c r="EF23" s="207"/>
      <c r="EG23" s="207"/>
      <c r="EH23" s="207"/>
      <c r="EI23" s="207"/>
      <c r="EJ23" s="207"/>
      <c r="EK23" s="207"/>
      <c r="EL23" s="207"/>
      <c r="EM23" s="207"/>
      <c r="EN23" s="207"/>
      <c r="EO23" s="207"/>
      <c r="EP23" s="207"/>
      <c r="EQ23" s="207"/>
      <c r="ER23" s="207"/>
    </row>
    <row r="24" spans="1:148" s="206" customFormat="1">
      <c r="A24" s="209"/>
      <c r="B24" s="209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</row>
    <row r="25" spans="1:148" s="206" customFormat="1">
      <c r="A25" s="209"/>
      <c r="B25" s="209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</row>
    <row r="26" spans="1:148" s="206" customFormat="1">
      <c r="A26" s="209"/>
      <c r="B26" s="209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</row>
    <row r="27" spans="1:148" s="206" customFormat="1">
      <c r="A27" s="209"/>
      <c r="B27" s="209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</row>
    <row r="28" spans="1:148" s="206" customFormat="1">
      <c r="A28" s="209"/>
      <c r="B28" s="209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</row>
    <row r="29" spans="1:148" s="206" customFormat="1">
      <c r="A29" s="209"/>
      <c r="B29" s="209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</row>
    <row r="30" spans="1:148" s="206" customFormat="1">
      <c r="A30" s="209"/>
      <c r="B30" s="209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</row>
    <row r="31" spans="1:148" s="206" customFormat="1">
      <c r="A31" s="209"/>
      <c r="B31" s="209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</row>
    <row r="32" spans="1:148" s="206" customFormat="1">
      <c r="A32" s="209"/>
      <c r="B32" s="209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</row>
    <row r="33" spans="1:148" s="206" customFormat="1">
      <c r="A33" s="209"/>
      <c r="B33" s="209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</row>
    <row r="34" spans="1:148" s="206" customFormat="1">
      <c r="A34" s="209"/>
      <c r="B34" s="209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</row>
    <row r="35" spans="1:148" s="206" customFormat="1">
      <c r="A35" s="209"/>
      <c r="B35" s="209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</row>
    <row r="36" spans="1:148" s="206" customFormat="1">
      <c r="A36" s="209"/>
      <c r="B36" s="209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</row>
    <row r="37" spans="1:148" s="206" customFormat="1">
      <c r="A37" s="209"/>
      <c r="B37" s="209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</row>
    <row r="38" spans="1:148" s="206" customFormat="1">
      <c r="A38" s="209"/>
      <c r="B38" s="209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</row>
    <row r="39" spans="1:148" s="206" customFormat="1">
      <c r="A39" s="209"/>
      <c r="B39" s="209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</row>
    <row r="40" spans="1:148" s="206" customFormat="1">
      <c r="A40" s="209"/>
      <c r="B40" s="209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</row>
    <row r="41" spans="1:148" s="206" customFormat="1">
      <c r="A41" s="209"/>
      <c r="B41" s="209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</row>
    <row r="42" spans="1:148" s="206" customFormat="1">
      <c r="A42" s="209"/>
      <c r="B42" s="209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</row>
    <row r="43" spans="1:148" s="206" customFormat="1">
      <c r="A43" s="209"/>
      <c r="B43" s="209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</row>
    <row r="44" spans="1:148" s="206" customFormat="1">
      <c r="A44" s="209"/>
      <c r="B44" s="209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</row>
    <row r="45" spans="1:148" s="206" customFormat="1">
      <c r="A45" s="209"/>
      <c r="B45" s="209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</row>
    <row r="46" spans="1:148" s="206" customFormat="1">
      <c r="A46" s="209"/>
      <c r="B46" s="209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</row>
    <row r="47" spans="1:148" s="206" customFormat="1">
      <c r="A47" s="209"/>
      <c r="B47" s="209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</row>
    <row r="48" spans="1:148" s="206" customFormat="1">
      <c r="A48" s="209"/>
      <c r="B48" s="209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</row>
    <row r="49" spans="1:148" s="206" customFormat="1">
      <c r="A49" s="209"/>
      <c r="B49" s="209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</row>
    <row r="50" spans="1:148" s="206" customFormat="1">
      <c r="A50" s="209"/>
      <c r="B50" s="209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</row>
    <row r="51" spans="1:148" s="206" customFormat="1">
      <c r="A51" s="209"/>
      <c r="B51" s="209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</row>
    <row r="52" spans="1:148" s="206" customFormat="1">
      <c r="A52" s="209"/>
      <c r="B52" s="209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</row>
    <row r="53" spans="1:148" s="206" customFormat="1">
      <c r="A53" s="209"/>
      <c r="B53" s="209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</row>
    <row r="54" spans="1:148" s="206" customFormat="1">
      <c r="A54" s="209"/>
      <c r="B54" s="209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</row>
    <row r="55" spans="1:148" s="206" customFormat="1">
      <c r="A55" s="209"/>
      <c r="B55" s="209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</row>
    <row r="56" spans="1:148" s="206" customFormat="1">
      <c r="A56" s="209"/>
      <c r="B56" s="209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</row>
    <row r="57" spans="1:148" s="206" customFormat="1">
      <c r="A57" s="209"/>
      <c r="B57" s="209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</row>
    <row r="58" spans="1:148" s="206" customFormat="1">
      <c r="A58" s="209"/>
      <c r="B58" s="209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</row>
    <row r="59" spans="1:148" s="206" customFormat="1">
      <c r="A59" s="209"/>
      <c r="B59" s="209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</row>
    <row r="60" spans="1:148" s="206" customFormat="1">
      <c r="A60" s="209"/>
      <c r="B60" s="209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</row>
    <row r="61" spans="1:148" s="206" customFormat="1">
      <c r="A61" s="209"/>
      <c r="B61" s="209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</row>
    <row r="62" spans="1:148" s="206" customFormat="1">
      <c r="A62" s="209"/>
      <c r="B62" s="209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</row>
    <row r="63" spans="1:148" s="206" customFormat="1">
      <c r="A63" s="209"/>
      <c r="B63" s="209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</row>
    <row r="64" spans="1:148" s="211" customFormat="1">
      <c r="A64" s="210"/>
      <c r="B64" s="210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</row>
    <row r="65" spans="1:148" s="211" customFormat="1">
      <c r="A65" s="210"/>
      <c r="B65" s="210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</row>
    <row r="66" spans="1:148" s="211" customFormat="1">
      <c r="A66" s="210"/>
      <c r="B66" s="210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</row>
    <row r="67" spans="1:148" s="211" customFormat="1">
      <c r="A67" s="210"/>
      <c r="B67" s="210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</row>
    <row r="68" spans="1:148" s="211" customFormat="1">
      <c r="A68" s="210"/>
      <c r="B68" s="210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</row>
    <row r="69" spans="1:148" s="211" customFormat="1">
      <c r="A69" s="210"/>
      <c r="B69" s="210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</row>
    <row r="70" spans="1:148" s="211" customFormat="1">
      <c r="A70" s="210"/>
      <c r="B70" s="210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</row>
    <row r="71" spans="1:148" s="211" customFormat="1">
      <c r="A71" s="210"/>
      <c r="B71" s="210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</row>
    <row r="72" spans="1:148" s="211" customFormat="1">
      <c r="A72" s="210"/>
      <c r="B72" s="210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</row>
    <row r="73" spans="1:148" s="211" customFormat="1">
      <c r="A73" s="210"/>
      <c r="B73" s="210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</row>
    <row r="74" spans="1:148" s="211" customFormat="1">
      <c r="A74" s="210"/>
      <c r="B74" s="210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</row>
    <row r="75" spans="1:148" s="211" customFormat="1">
      <c r="A75" s="210"/>
      <c r="B75" s="210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</row>
    <row r="76" spans="1:148" s="211" customFormat="1">
      <c r="A76" s="210"/>
      <c r="B76" s="210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</row>
    <row r="77" spans="1:148" s="211" customFormat="1">
      <c r="A77" s="210"/>
      <c r="B77" s="210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</row>
    <row r="78" spans="1:148" s="211" customFormat="1">
      <c r="A78" s="210"/>
      <c r="B78" s="210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</row>
    <row r="79" spans="1:148" s="211" customFormat="1">
      <c r="A79" s="210"/>
      <c r="B79" s="210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</row>
    <row r="80" spans="1:148" s="211" customFormat="1">
      <c r="A80" s="210"/>
      <c r="B80" s="210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</row>
    <row r="81" spans="1:148" s="211" customFormat="1">
      <c r="A81" s="210"/>
      <c r="B81" s="210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</row>
    <row r="82" spans="1:148" s="211" customFormat="1">
      <c r="A82" s="210"/>
      <c r="B82" s="210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</row>
    <row r="83" spans="1:148" s="211" customFormat="1">
      <c r="A83" s="210"/>
      <c r="B83" s="210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</row>
    <row r="84" spans="1:148" s="211" customFormat="1">
      <c r="A84" s="210"/>
      <c r="B84" s="210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</row>
    <row r="85" spans="1:148" s="211" customFormat="1">
      <c r="A85" s="210"/>
      <c r="B85" s="210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</row>
    <row r="86" spans="1:148" s="211" customFormat="1">
      <c r="A86" s="210"/>
      <c r="B86" s="210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</row>
    <row r="87" spans="1:148" s="211" customFormat="1">
      <c r="A87" s="210"/>
      <c r="B87" s="210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</row>
    <row r="88" spans="1:148" s="211" customFormat="1">
      <c r="A88" s="210"/>
      <c r="B88" s="210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</row>
    <row r="89" spans="1:148" s="211" customFormat="1">
      <c r="A89" s="210"/>
      <c r="B89" s="210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</row>
    <row r="90" spans="1:148" s="211" customFormat="1">
      <c r="A90" s="210"/>
      <c r="B90" s="210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</row>
    <row r="91" spans="1:148" s="211" customFormat="1">
      <c r="A91" s="210"/>
      <c r="B91" s="210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</row>
    <row r="92" spans="1:148" s="211" customFormat="1">
      <c r="A92" s="210"/>
      <c r="B92" s="210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</row>
    <row r="93" spans="1:148" s="211" customFormat="1">
      <c r="A93" s="210"/>
      <c r="B93" s="210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</row>
    <row r="94" spans="1:148" s="211" customFormat="1">
      <c r="A94" s="210"/>
      <c r="B94" s="210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</row>
    <row r="95" spans="1:148" s="211" customFormat="1">
      <c r="A95" s="210"/>
      <c r="B95" s="210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</row>
    <row r="96" spans="1:148" s="211" customFormat="1">
      <c r="A96" s="210"/>
      <c r="B96" s="210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</row>
    <row r="97" spans="1:148" s="211" customFormat="1">
      <c r="A97" s="210"/>
      <c r="B97" s="210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</row>
    <row r="98" spans="1:148" s="211" customFormat="1">
      <c r="A98" s="210"/>
      <c r="B98" s="210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</row>
    <row r="99" spans="1:148" s="211" customFormat="1">
      <c r="A99" s="210"/>
      <c r="B99" s="210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</row>
    <row r="100" spans="1:148" s="211" customFormat="1">
      <c r="A100" s="210"/>
      <c r="B100" s="210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</row>
    <row r="101" spans="1:148" s="211" customFormat="1">
      <c r="A101" s="210"/>
      <c r="B101" s="210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</row>
    <row r="102" spans="1:148" s="211" customFormat="1">
      <c r="A102" s="210"/>
      <c r="B102" s="210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</row>
    <row r="103" spans="1:148" s="211" customFormat="1">
      <c r="A103" s="210"/>
      <c r="B103" s="210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</row>
    <row r="104" spans="1:148" s="211" customFormat="1">
      <c r="A104" s="210"/>
      <c r="B104" s="210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</row>
    <row r="105" spans="1:148" s="211" customFormat="1">
      <c r="A105" s="210"/>
      <c r="B105" s="210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</row>
    <row r="106" spans="1:148" s="211" customFormat="1">
      <c r="A106" s="210"/>
      <c r="B106" s="210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</row>
    <row r="107" spans="1:148" s="211" customFormat="1">
      <c r="A107" s="210"/>
      <c r="B107" s="210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</row>
    <row r="108" spans="1:148" s="211" customFormat="1">
      <c r="A108" s="210"/>
      <c r="B108" s="210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</row>
    <row r="109" spans="1:148" s="211" customFormat="1">
      <c r="A109" s="210"/>
      <c r="B109" s="210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</row>
    <row r="110" spans="1:148" s="211" customFormat="1">
      <c r="A110" s="210"/>
      <c r="B110" s="210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</row>
    <row r="111" spans="1:148" s="211" customFormat="1">
      <c r="A111" s="210"/>
      <c r="B111" s="210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</row>
    <row r="112" spans="1:148" s="211" customFormat="1">
      <c r="A112" s="210"/>
      <c r="B112" s="210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</row>
    <row r="113" spans="1:148" s="211" customFormat="1">
      <c r="A113" s="210"/>
      <c r="B113" s="210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</row>
    <row r="114" spans="1:148" s="211" customFormat="1">
      <c r="A114" s="210"/>
      <c r="B114" s="210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</row>
    <row r="115" spans="1:148" s="211" customFormat="1">
      <c r="A115" s="210"/>
      <c r="B115" s="210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</row>
    <row r="116" spans="1:148" s="211" customFormat="1">
      <c r="A116" s="210"/>
      <c r="B116" s="210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</row>
    <row r="117" spans="1:148" s="211" customFormat="1">
      <c r="A117" s="210"/>
      <c r="B117" s="210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</row>
    <row r="118" spans="1:148" s="211" customFormat="1">
      <c r="A118" s="210"/>
      <c r="B118" s="210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</row>
    <row r="119" spans="1:148" s="211" customFormat="1">
      <c r="A119" s="210"/>
      <c r="B119" s="210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</row>
    <row r="120" spans="1:148" s="211" customFormat="1">
      <c r="A120" s="210"/>
      <c r="B120" s="210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</row>
    <row r="121" spans="1:148" s="211" customFormat="1">
      <c r="A121" s="210"/>
      <c r="B121" s="210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</row>
    <row r="122" spans="1:148" s="211" customFormat="1">
      <c r="A122" s="210"/>
      <c r="B122" s="210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</row>
    <row r="123" spans="1:148" s="211" customFormat="1">
      <c r="A123" s="210"/>
      <c r="B123" s="210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</row>
    <row r="124" spans="1:148" s="211" customFormat="1">
      <c r="A124" s="210"/>
      <c r="B124" s="210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</row>
    <row r="125" spans="1:148" s="211" customFormat="1">
      <c r="A125" s="210"/>
      <c r="B125" s="210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</row>
    <row r="126" spans="1:148" s="211" customFormat="1">
      <c r="A126" s="210"/>
      <c r="B126" s="210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</row>
    <row r="127" spans="1:148" s="211" customFormat="1">
      <c r="A127" s="210"/>
      <c r="B127" s="210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</row>
    <row r="128" spans="1:148" s="211" customFormat="1">
      <c r="A128" s="210"/>
      <c r="B128" s="210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</row>
    <row r="129" spans="1:148" s="211" customFormat="1">
      <c r="A129" s="210"/>
      <c r="B129" s="210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</row>
    <row r="130" spans="1:148" s="211" customFormat="1">
      <c r="A130" s="210"/>
      <c r="B130" s="210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</row>
    <row r="131" spans="1:148" s="211" customFormat="1">
      <c r="A131" s="210"/>
      <c r="B131" s="210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</row>
    <row r="132" spans="1:148" s="211" customFormat="1">
      <c r="A132" s="210"/>
      <c r="B132" s="210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</row>
    <row r="133" spans="1:148" s="211" customFormat="1">
      <c r="A133" s="210"/>
      <c r="B133" s="210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</row>
    <row r="134" spans="1:148" s="211" customFormat="1">
      <c r="A134" s="210"/>
      <c r="B134" s="210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</row>
    <row r="135" spans="1:148" s="211" customFormat="1">
      <c r="A135" s="210"/>
      <c r="B135" s="210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</row>
    <row r="136" spans="1:148" s="211" customFormat="1">
      <c r="A136" s="210"/>
      <c r="B136" s="210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</row>
    <row r="137" spans="1:148" s="211" customFormat="1">
      <c r="A137" s="210"/>
      <c r="B137" s="210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</row>
    <row r="138" spans="1:148" s="211" customFormat="1">
      <c r="A138" s="210"/>
      <c r="B138" s="210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</row>
    <row r="139" spans="1:148" s="211" customFormat="1">
      <c r="A139" s="210"/>
      <c r="B139" s="210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</row>
    <row r="140" spans="1:148" s="211" customFormat="1">
      <c r="A140" s="210"/>
      <c r="B140" s="210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</row>
    <row r="141" spans="1:148" s="211" customFormat="1">
      <c r="A141" s="210"/>
      <c r="B141" s="210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</row>
    <row r="142" spans="1:148" s="211" customFormat="1">
      <c r="A142" s="210"/>
      <c r="B142" s="210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</row>
    <row r="143" spans="1:148" s="211" customFormat="1">
      <c r="A143" s="210"/>
      <c r="B143" s="210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</row>
    <row r="144" spans="1:148" s="211" customFormat="1">
      <c r="A144" s="210"/>
      <c r="B144" s="210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</row>
    <row r="145" spans="1:148" s="211" customFormat="1">
      <c r="A145" s="210"/>
      <c r="B145" s="210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</row>
    <row r="146" spans="1:148" s="211" customFormat="1">
      <c r="A146" s="210"/>
      <c r="B146" s="210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</row>
    <row r="147" spans="1:148" s="211" customFormat="1">
      <c r="A147" s="210"/>
      <c r="B147" s="210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</row>
    <row r="148" spans="1:148" s="211" customFormat="1">
      <c r="A148" s="210"/>
      <c r="B148" s="210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</row>
    <row r="149" spans="1:148" s="211" customFormat="1">
      <c r="A149" s="210"/>
      <c r="B149" s="210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</row>
    <row r="150" spans="1:148" s="211" customFormat="1">
      <c r="A150" s="210"/>
      <c r="B150" s="210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</row>
    <row r="151" spans="1:148" s="211" customFormat="1">
      <c r="A151" s="210"/>
      <c r="B151" s="210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</row>
    <row r="152" spans="1:148" s="211" customFormat="1">
      <c r="A152" s="210"/>
      <c r="B152" s="210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</row>
    <row r="153" spans="1:148" s="211" customFormat="1">
      <c r="A153" s="210"/>
      <c r="B153" s="210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</row>
    <row r="154" spans="1:148" s="211" customFormat="1">
      <c r="A154" s="210"/>
      <c r="B154" s="210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</row>
    <row r="155" spans="1:148" s="211" customFormat="1">
      <c r="A155" s="210"/>
      <c r="B155" s="210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</row>
    <row r="156" spans="1:148" s="211" customFormat="1">
      <c r="A156" s="210"/>
      <c r="B156" s="210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</row>
    <row r="157" spans="1:148" s="211" customFormat="1">
      <c r="A157" s="210"/>
      <c r="B157" s="210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</row>
    <row r="158" spans="1:148" s="211" customFormat="1">
      <c r="A158" s="210"/>
      <c r="B158" s="210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</row>
    <row r="159" spans="1:148" s="211" customFormat="1">
      <c r="A159" s="210"/>
      <c r="B159" s="210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</row>
    <row r="160" spans="1:148" s="211" customFormat="1">
      <c r="A160" s="210"/>
      <c r="B160" s="210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</row>
    <row r="161" spans="1:148" s="211" customFormat="1">
      <c r="A161" s="210"/>
      <c r="B161" s="210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</row>
    <row r="162" spans="1:148" s="211" customFormat="1">
      <c r="A162" s="210"/>
      <c r="B162" s="210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</row>
    <row r="163" spans="1:148" s="211" customFormat="1">
      <c r="A163" s="210"/>
      <c r="B163" s="210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</row>
    <row r="164" spans="1:148" s="211" customFormat="1">
      <c r="A164" s="210"/>
      <c r="B164" s="210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</row>
    <row r="165" spans="1:148" s="211" customFormat="1">
      <c r="A165" s="210"/>
      <c r="B165" s="210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</row>
    <row r="166" spans="1:148" s="211" customFormat="1">
      <c r="A166" s="210"/>
      <c r="B166" s="210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</row>
    <row r="167" spans="1:148" s="211" customFormat="1">
      <c r="A167" s="210"/>
      <c r="B167" s="210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</row>
    <row r="168" spans="1:148" s="211" customFormat="1">
      <c r="A168" s="210"/>
      <c r="B168" s="210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</row>
    <row r="169" spans="1:148" s="211" customFormat="1">
      <c r="A169" s="210"/>
      <c r="B169" s="210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</row>
    <row r="170" spans="1:148" s="211" customFormat="1">
      <c r="A170" s="210"/>
      <c r="B170" s="210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</row>
    <row r="171" spans="1:148" s="211" customFormat="1">
      <c r="A171" s="210"/>
      <c r="B171" s="210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</row>
    <row r="172" spans="1:148" s="211" customFormat="1">
      <c r="A172" s="210"/>
      <c r="B172" s="210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</row>
    <row r="173" spans="1:148" s="1" customFormat="1">
      <c r="A173" s="212"/>
      <c r="B173" s="212"/>
    </row>
    <row r="174" spans="1:148" s="1" customFormat="1">
      <c r="A174" s="212"/>
      <c r="B174" s="212"/>
    </row>
    <row r="175" spans="1:148" s="1" customFormat="1">
      <c r="A175" s="212"/>
      <c r="B175" s="212"/>
    </row>
    <row r="176" spans="1:148" s="1" customFormat="1">
      <c r="A176" s="212"/>
      <c r="B176" s="212"/>
    </row>
    <row r="177" spans="1:2" s="1" customFormat="1">
      <c r="A177" s="212"/>
      <c r="B177" s="212"/>
    </row>
    <row r="178" spans="1:2" s="1" customFormat="1">
      <c r="A178" s="212"/>
      <c r="B178" s="212"/>
    </row>
    <row r="179" spans="1:2" s="1" customFormat="1">
      <c r="A179" s="212"/>
      <c r="B179" s="212"/>
    </row>
    <row r="180" spans="1:2" s="1" customFormat="1">
      <c r="A180" s="212"/>
      <c r="B180" s="212"/>
    </row>
    <row r="181" spans="1:2" s="1" customFormat="1">
      <c r="A181" s="212"/>
      <c r="B181" s="212"/>
    </row>
    <row r="182" spans="1:2" s="1" customFormat="1">
      <c r="A182" s="212"/>
      <c r="B182" s="212"/>
    </row>
    <row r="183" spans="1:2" s="1" customFormat="1">
      <c r="A183" s="212"/>
      <c r="B183" s="212"/>
    </row>
    <row r="184" spans="1:2" s="1" customFormat="1">
      <c r="A184" s="212"/>
      <c r="B184" s="212"/>
    </row>
    <row r="185" spans="1:2" s="1" customFormat="1">
      <c r="A185" s="212"/>
      <c r="B185" s="212"/>
    </row>
    <row r="186" spans="1:2" s="1" customFormat="1">
      <c r="A186" s="212"/>
      <c r="B186" s="212"/>
    </row>
    <row r="187" spans="1:2" s="1" customFormat="1">
      <c r="A187" s="212"/>
      <c r="B187" s="212"/>
    </row>
    <row r="188" spans="1:2" s="1" customFormat="1">
      <c r="A188" s="212"/>
      <c r="B188" s="212"/>
    </row>
    <row r="189" spans="1:2" s="1" customFormat="1">
      <c r="A189" s="212"/>
      <c r="B189" s="212"/>
    </row>
    <row r="190" spans="1:2" s="1" customFormat="1">
      <c r="A190" s="212"/>
      <c r="B190" s="212"/>
    </row>
    <row r="191" spans="1:2" s="1" customFormat="1">
      <c r="A191" s="212"/>
      <c r="B191" s="212"/>
    </row>
    <row r="192" spans="1:2" s="1" customFormat="1">
      <c r="A192" s="212"/>
      <c r="B192" s="212"/>
    </row>
    <row r="193" spans="1:2" s="1" customFormat="1">
      <c r="A193" s="212"/>
      <c r="B193" s="212"/>
    </row>
    <row r="194" spans="1:2" s="1" customFormat="1">
      <c r="A194" s="212"/>
      <c r="B194" s="212"/>
    </row>
    <row r="195" spans="1:2" s="1" customFormat="1">
      <c r="A195" s="212"/>
      <c r="B195" s="212"/>
    </row>
    <row r="196" spans="1:2" s="1" customFormat="1">
      <c r="A196" s="212"/>
      <c r="B196" s="212"/>
    </row>
    <row r="197" spans="1:2" s="1" customFormat="1">
      <c r="A197" s="212"/>
      <c r="B197" s="212"/>
    </row>
    <row r="198" spans="1:2" s="1" customFormat="1">
      <c r="A198" s="212"/>
      <c r="B198" s="212"/>
    </row>
    <row r="199" spans="1:2" s="1" customFormat="1">
      <c r="A199" s="212"/>
      <c r="B199" s="212"/>
    </row>
    <row r="200" spans="1:2" s="1" customFormat="1">
      <c r="A200" s="212"/>
      <c r="B200" s="212"/>
    </row>
    <row r="201" spans="1:2" s="1" customFormat="1">
      <c r="A201" s="212"/>
      <c r="B201" s="212"/>
    </row>
    <row r="202" spans="1:2" s="1" customFormat="1">
      <c r="A202" s="212"/>
      <c r="B202" s="212"/>
    </row>
    <row r="203" spans="1:2" s="1" customFormat="1">
      <c r="A203" s="212"/>
      <c r="B203" s="212"/>
    </row>
    <row r="204" spans="1:2" s="1" customFormat="1">
      <c r="A204" s="212"/>
      <c r="B204" s="212"/>
    </row>
    <row r="205" spans="1:2" s="1" customFormat="1">
      <c r="A205" s="212"/>
      <c r="B205" s="212"/>
    </row>
    <row r="206" spans="1:2" s="1" customFormat="1">
      <c r="A206" s="212"/>
      <c r="B206" s="212"/>
    </row>
    <row r="207" spans="1:2" s="1" customFormat="1">
      <c r="A207" s="212"/>
      <c r="B207" s="212"/>
    </row>
    <row r="208" spans="1:2" s="1" customFormat="1">
      <c r="A208" s="212"/>
      <c r="B208" s="212"/>
    </row>
    <row r="209" spans="1:2" s="1" customFormat="1">
      <c r="A209" s="212"/>
      <c r="B209" s="212"/>
    </row>
    <row r="210" spans="1:2" s="1" customFormat="1">
      <c r="A210" s="212"/>
      <c r="B210" s="212"/>
    </row>
    <row r="211" spans="1:2" s="1" customFormat="1">
      <c r="A211" s="212"/>
      <c r="B211" s="212"/>
    </row>
    <row r="212" spans="1:2" s="1" customFormat="1">
      <c r="A212" s="212"/>
      <c r="B212" s="212"/>
    </row>
    <row r="213" spans="1:2" s="1" customFormat="1">
      <c r="A213" s="212"/>
      <c r="B213" s="212"/>
    </row>
  </sheetData>
  <sheetProtection formatColumns="0" formatRows="0"/>
  <mergeCells count="70">
    <mergeCell ref="E23:F23"/>
    <mergeCell ref="A3:F3"/>
    <mergeCell ref="C20:D20"/>
    <mergeCell ref="C21:D21"/>
    <mergeCell ref="C22:D22"/>
    <mergeCell ref="C23:D23"/>
    <mergeCell ref="E10:F10"/>
    <mergeCell ref="E11:F11"/>
    <mergeCell ref="E12:F12"/>
    <mergeCell ref="E13:F13"/>
    <mergeCell ref="E14:F14"/>
    <mergeCell ref="E15:F15"/>
    <mergeCell ref="E17:F17"/>
    <mergeCell ref="E18:F18"/>
    <mergeCell ref="E19:F19"/>
    <mergeCell ref="E20:F20"/>
    <mergeCell ref="E21:F21"/>
    <mergeCell ref="E22:F22"/>
    <mergeCell ref="C14:D14"/>
    <mergeCell ref="C15:D15"/>
    <mergeCell ref="C17:D17"/>
    <mergeCell ref="C18:D18"/>
    <mergeCell ref="C19:D19"/>
    <mergeCell ref="C16:D16"/>
    <mergeCell ref="E16:F16"/>
    <mergeCell ref="G9:H9"/>
    <mergeCell ref="C10:D10"/>
    <mergeCell ref="C11:D11"/>
    <mergeCell ref="C12:D12"/>
    <mergeCell ref="C13:D13"/>
    <mergeCell ref="G12:H12"/>
    <mergeCell ref="G13:H13"/>
    <mergeCell ref="A22:B22"/>
    <mergeCell ref="A23:B23"/>
    <mergeCell ref="A17:B17"/>
    <mergeCell ref="A1:B1"/>
    <mergeCell ref="A14:B14"/>
    <mergeCell ref="A18:B18"/>
    <mergeCell ref="A15:B15"/>
    <mergeCell ref="A20:B20"/>
    <mergeCell ref="A19:B19"/>
    <mergeCell ref="A21:B21"/>
    <mergeCell ref="A13:B13"/>
    <mergeCell ref="A16:B16"/>
    <mergeCell ref="C7:D8"/>
    <mergeCell ref="C6:H6"/>
    <mergeCell ref="G1:H1"/>
    <mergeCell ref="A12:B12"/>
    <mergeCell ref="C4:F4"/>
    <mergeCell ref="G2:H5"/>
    <mergeCell ref="A11:B11"/>
    <mergeCell ref="E7:F7"/>
    <mergeCell ref="E8:F8"/>
    <mergeCell ref="G7:H8"/>
    <mergeCell ref="A10:B10"/>
    <mergeCell ref="A6:B9"/>
    <mergeCell ref="C9:D9"/>
    <mergeCell ref="E9:F9"/>
    <mergeCell ref="G10:H10"/>
    <mergeCell ref="G11:H11"/>
    <mergeCell ref="G20:H20"/>
    <mergeCell ref="G21:H21"/>
    <mergeCell ref="G22:H22"/>
    <mergeCell ref="G23:H23"/>
    <mergeCell ref="G14:H14"/>
    <mergeCell ref="G15:H15"/>
    <mergeCell ref="G17:H17"/>
    <mergeCell ref="G18:H18"/>
    <mergeCell ref="G19:H19"/>
    <mergeCell ref="G16:H16"/>
  </mergeCells>
  <printOptions horizontalCentered="1"/>
  <pageMargins left="0.15748031496062992" right="0.15748031496062992" top="0.27559055118110237" bottom="0.15748031496062992" header="0.19685039370078741" footer="0.15748031496062992"/>
  <pageSetup paperSize="9" scale="36" fitToWidth="2" fitToHeight="2" orientation="landscape" r:id="rId1"/>
  <headerFooter differentFirst="1" alignWithMargins="0"/>
  <rowBreaks count="1" manualBreakCount="1">
    <brk id="9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JH305"/>
  <sheetViews>
    <sheetView zoomScale="70" zoomScaleNormal="70" zoomScaleSheetLayoutView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27" sqref="E27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19.5" customHeight="1">
      <c r="C1" s="278" t="s">
        <v>0</v>
      </c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  <c r="DM1" s="278"/>
      <c r="DN1" s="278"/>
      <c r="DO1" s="278"/>
      <c r="DP1" s="278"/>
      <c r="DQ1" s="278"/>
      <c r="DR1" s="278"/>
      <c r="DS1" s="278"/>
      <c r="DT1" s="278"/>
      <c r="DU1" s="278"/>
      <c r="DV1" s="278"/>
    </row>
    <row r="2" spans="1:268" ht="15.75" customHeight="1">
      <c r="C2" s="278" t="s">
        <v>1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  <c r="DM2" s="278"/>
      <c r="DN2" s="278"/>
      <c r="DO2" s="278"/>
      <c r="DP2" s="278"/>
      <c r="DQ2" s="278"/>
      <c r="DR2" s="278"/>
      <c r="DS2" s="278"/>
      <c r="DT2" s="278"/>
      <c r="DU2" s="278"/>
      <c r="DV2" s="278"/>
    </row>
    <row r="3" spans="1:268" ht="15" customHeight="1">
      <c r="A3" s="4"/>
      <c r="B3" s="4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U3" s="7" t="s">
        <v>2</v>
      </c>
    </row>
    <row r="4" spans="1:268" ht="15.75" customHeight="1">
      <c r="A4" s="261" t="s">
        <v>3</v>
      </c>
      <c r="B4" s="262"/>
      <c r="C4" s="267" t="s">
        <v>4</v>
      </c>
      <c r="D4" s="268"/>
      <c r="E4" s="269" t="s">
        <v>5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 t="s">
        <v>6</v>
      </c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9"/>
    </row>
    <row r="5" spans="1:268" s="120" customFormat="1" ht="16.5" customHeight="1">
      <c r="A5" s="263"/>
      <c r="B5" s="264"/>
      <c r="C5" s="270" t="s">
        <v>113</v>
      </c>
      <c r="D5" s="270"/>
      <c r="E5" s="270" t="s">
        <v>7</v>
      </c>
      <c r="F5" s="270"/>
      <c r="G5" s="270" t="s">
        <v>8</v>
      </c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 t="s">
        <v>9</v>
      </c>
      <c r="AZ5" s="270"/>
      <c r="BA5" s="340" t="s">
        <v>96</v>
      </c>
      <c r="BB5" s="340"/>
      <c r="BC5" s="260" t="s">
        <v>10</v>
      </c>
      <c r="BD5" s="260"/>
      <c r="BE5" s="260"/>
      <c r="BF5" s="260"/>
      <c r="BG5" s="260"/>
      <c r="BH5" s="260"/>
      <c r="BI5" s="260"/>
      <c r="BJ5" s="260"/>
      <c r="BK5" s="260"/>
      <c r="BL5" s="260"/>
      <c r="BM5" s="260"/>
      <c r="BN5" s="260"/>
      <c r="BO5" s="260"/>
      <c r="BP5" s="260"/>
      <c r="BQ5" s="260"/>
      <c r="BR5" s="260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260"/>
      <c r="DH5" s="260"/>
      <c r="DI5" s="260"/>
      <c r="DJ5" s="260"/>
      <c r="DK5" s="260"/>
      <c r="DL5" s="260"/>
      <c r="DM5" s="260"/>
      <c r="DN5" s="260"/>
      <c r="DO5" s="260"/>
      <c r="DP5" s="260"/>
      <c r="DQ5" s="273" t="s">
        <v>125</v>
      </c>
      <c r="DR5" s="274"/>
      <c r="DS5" s="339" t="s">
        <v>126</v>
      </c>
      <c r="DT5" s="339"/>
      <c r="DU5" s="339" t="s">
        <v>96</v>
      </c>
      <c r="DV5" s="339"/>
      <c r="DW5" s="10"/>
      <c r="DX5" s="118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</row>
    <row r="6" spans="1:268" s="120" customFormat="1" ht="36.75" customHeight="1">
      <c r="A6" s="263"/>
      <c r="B6" s="264"/>
      <c r="C6" s="270"/>
      <c r="D6" s="270"/>
      <c r="E6" s="270"/>
      <c r="F6" s="270"/>
      <c r="G6" s="254" t="s">
        <v>11</v>
      </c>
      <c r="H6" s="254"/>
      <c r="I6" s="254" t="s">
        <v>12</v>
      </c>
      <c r="J6" s="254"/>
      <c r="K6" s="254" t="s">
        <v>70</v>
      </c>
      <c r="L6" s="254"/>
      <c r="M6" s="254" t="s">
        <v>13</v>
      </c>
      <c r="N6" s="254"/>
      <c r="O6" s="254" t="s">
        <v>14</v>
      </c>
      <c r="P6" s="254"/>
      <c r="Q6" s="254" t="s">
        <v>15</v>
      </c>
      <c r="R6" s="254"/>
      <c r="S6" s="254" t="s">
        <v>81</v>
      </c>
      <c r="T6" s="254"/>
      <c r="U6" s="254" t="s">
        <v>16</v>
      </c>
      <c r="V6" s="254"/>
      <c r="W6" s="254" t="s">
        <v>82</v>
      </c>
      <c r="X6" s="254"/>
      <c r="Y6" s="254" t="s">
        <v>17</v>
      </c>
      <c r="Z6" s="254"/>
      <c r="AA6" s="254" t="s">
        <v>83</v>
      </c>
      <c r="AB6" s="254"/>
      <c r="AC6" s="254" t="s">
        <v>18</v>
      </c>
      <c r="AD6" s="254"/>
      <c r="AE6" s="254" t="s">
        <v>84</v>
      </c>
      <c r="AF6" s="254"/>
      <c r="AG6" s="254" t="s">
        <v>19</v>
      </c>
      <c r="AH6" s="254"/>
      <c r="AI6" s="254" t="s">
        <v>85</v>
      </c>
      <c r="AJ6" s="254"/>
      <c r="AK6" s="254" t="s">
        <v>20</v>
      </c>
      <c r="AL6" s="254"/>
      <c r="AM6" s="254" t="s">
        <v>86</v>
      </c>
      <c r="AN6" s="254"/>
      <c r="AO6" s="254" t="s">
        <v>21</v>
      </c>
      <c r="AP6" s="254"/>
      <c r="AQ6" s="254" t="s">
        <v>87</v>
      </c>
      <c r="AR6" s="254"/>
      <c r="AS6" s="254" t="s">
        <v>22</v>
      </c>
      <c r="AT6" s="254"/>
      <c r="AU6" s="254" t="s">
        <v>88</v>
      </c>
      <c r="AV6" s="254"/>
      <c r="AW6" s="254" t="s">
        <v>23</v>
      </c>
      <c r="AX6" s="254"/>
      <c r="AY6" s="270"/>
      <c r="AZ6" s="270"/>
      <c r="BA6" s="340"/>
      <c r="BB6" s="340"/>
      <c r="BC6" s="254" t="s">
        <v>11</v>
      </c>
      <c r="BD6" s="254"/>
      <c r="BE6" s="254" t="s">
        <v>12</v>
      </c>
      <c r="BF6" s="254"/>
      <c r="BG6" s="254" t="s">
        <v>70</v>
      </c>
      <c r="BH6" s="254"/>
      <c r="BI6" s="337" t="s">
        <v>96</v>
      </c>
      <c r="BJ6" s="338"/>
      <c r="BK6" s="254" t="s">
        <v>13</v>
      </c>
      <c r="BL6" s="254"/>
      <c r="BM6" s="254" t="s">
        <v>14</v>
      </c>
      <c r="BN6" s="254"/>
      <c r="BO6" s="337" t="s">
        <v>96</v>
      </c>
      <c r="BP6" s="338"/>
      <c r="BQ6" s="254" t="s">
        <v>15</v>
      </c>
      <c r="BR6" s="254"/>
      <c r="BS6" s="254" t="s">
        <v>81</v>
      </c>
      <c r="BT6" s="254"/>
      <c r="BU6" s="337" t="s">
        <v>96</v>
      </c>
      <c r="BV6" s="338"/>
      <c r="BW6" s="254" t="s">
        <v>141</v>
      </c>
      <c r="BX6" s="254"/>
      <c r="BY6" s="254" t="s">
        <v>82</v>
      </c>
      <c r="BZ6" s="254"/>
      <c r="CA6" s="337" t="s">
        <v>96</v>
      </c>
      <c r="CB6" s="338"/>
      <c r="CC6" s="254" t="s">
        <v>17</v>
      </c>
      <c r="CD6" s="254"/>
      <c r="CE6" s="254" t="s">
        <v>83</v>
      </c>
      <c r="CF6" s="254"/>
      <c r="CG6" s="337" t="s">
        <v>96</v>
      </c>
      <c r="CH6" s="338"/>
      <c r="CI6" s="254" t="s">
        <v>18</v>
      </c>
      <c r="CJ6" s="254"/>
      <c r="CK6" s="254" t="s">
        <v>84</v>
      </c>
      <c r="CL6" s="254"/>
      <c r="CM6" s="337" t="s">
        <v>96</v>
      </c>
      <c r="CN6" s="338"/>
      <c r="CO6" s="254" t="s">
        <v>19</v>
      </c>
      <c r="CP6" s="254"/>
      <c r="CQ6" s="254" t="s">
        <v>85</v>
      </c>
      <c r="CR6" s="254"/>
      <c r="CS6" s="337" t="s">
        <v>96</v>
      </c>
      <c r="CT6" s="338"/>
      <c r="CU6" s="254" t="s">
        <v>20</v>
      </c>
      <c r="CV6" s="254"/>
      <c r="CW6" s="254" t="s">
        <v>86</v>
      </c>
      <c r="CX6" s="254"/>
      <c r="CY6" s="337" t="s">
        <v>96</v>
      </c>
      <c r="CZ6" s="338"/>
      <c r="DA6" s="254" t="s">
        <v>21</v>
      </c>
      <c r="DB6" s="254"/>
      <c r="DC6" s="254" t="s">
        <v>87</v>
      </c>
      <c r="DD6" s="254"/>
      <c r="DE6" s="337" t="s">
        <v>96</v>
      </c>
      <c r="DF6" s="338"/>
      <c r="DG6" s="254" t="s">
        <v>22</v>
      </c>
      <c r="DH6" s="254"/>
      <c r="DI6" s="254" t="s">
        <v>88</v>
      </c>
      <c r="DJ6" s="254"/>
      <c r="DK6" s="337" t="s">
        <v>96</v>
      </c>
      <c r="DL6" s="338"/>
      <c r="DM6" s="254" t="s">
        <v>23</v>
      </c>
      <c r="DN6" s="254"/>
      <c r="DO6" s="255" t="s">
        <v>117</v>
      </c>
      <c r="DP6" s="255"/>
      <c r="DQ6" s="275"/>
      <c r="DR6" s="276"/>
      <c r="DS6" s="339"/>
      <c r="DT6" s="339"/>
      <c r="DU6" s="339"/>
      <c r="DV6" s="339"/>
      <c r="DW6" s="11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" customFormat="1" ht="52.5" customHeight="1">
      <c r="A7" s="265"/>
      <c r="B7" s="266"/>
      <c r="C7" s="95" t="s">
        <v>26</v>
      </c>
      <c r="D7" s="95" t="s">
        <v>24</v>
      </c>
      <c r="E7" s="95" t="s">
        <v>26</v>
      </c>
      <c r="F7" s="95" t="s">
        <v>24</v>
      </c>
      <c r="G7" s="95" t="str">
        <f>E7</f>
        <v>консолиди-                       рованный бюджет района</v>
      </c>
      <c r="H7" s="95" t="str">
        <f>F7</f>
        <v>в т.ч. бюджет района</v>
      </c>
      <c r="I7" s="95" t="str">
        <f t="shared" ref="I7:AX7" si="0">G7</f>
        <v>консолиди-                       рованный бюджет района</v>
      </c>
      <c r="J7" s="95" t="str">
        <f t="shared" si="0"/>
        <v>в т.ч. бюджет района</v>
      </c>
      <c r="K7" s="95" t="str">
        <f t="shared" si="0"/>
        <v>консолиди-                       рованный бюджет района</v>
      </c>
      <c r="L7" s="95" t="str">
        <f t="shared" si="0"/>
        <v>в т.ч. бюджет района</v>
      </c>
      <c r="M7" s="95" t="str">
        <f t="shared" si="0"/>
        <v>консолиди-                       рованный бюджет района</v>
      </c>
      <c r="N7" s="95" t="str">
        <f t="shared" si="0"/>
        <v>в т.ч. бюджет района</v>
      </c>
      <c r="O7" s="95" t="str">
        <f t="shared" si="0"/>
        <v>консолиди-                       рованный бюджет района</v>
      </c>
      <c r="P7" s="95" t="str">
        <f t="shared" si="0"/>
        <v>в т.ч. бюджет района</v>
      </c>
      <c r="Q7" s="95" t="str">
        <f t="shared" si="0"/>
        <v>консолиди-                       рованный бюджет района</v>
      </c>
      <c r="R7" s="95" t="str">
        <f t="shared" si="0"/>
        <v>в т.ч. бюджет района</v>
      </c>
      <c r="S7" s="95" t="str">
        <f t="shared" si="0"/>
        <v>консолиди-                       рованный бюджет района</v>
      </c>
      <c r="T7" s="95" t="str">
        <f t="shared" si="0"/>
        <v>в т.ч. бюджет района</v>
      </c>
      <c r="U7" s="95" t="str">
        <f t="shared" si="0"/>
        <v>консолиди-                       рованный бюджет района</v>
      </c>
      <c r="V7" s="95" t="str">
        <f t="shared" si="0"/>
        <v>в т.ч. бюджет района</v>
      </c>
      <c r="W7" s="95" t="str">
        <f t="shared" si="0"/>
        <v>консолиди-                       рованный бюджет района</v>
      </c>
      <c r="X7" s="95" t="str">
        <f t="shared" si="0"/>
        <v>в т.ч. бюджет района</v>
      </c>
      <c r="Y7" s="95" t="str">
        <f t="shared" si="0"/>
        <v>консолиди-                       рованный бюджет района</v>
      </c>
      <c r="Z7" s="95" t="str">
        <f t="shared" si="0"/>
        <v>в т.ч. бюджет района</v>
      </c>
      <c r="AA7" s="95" t="str">
        <f t="shared" si="0"/>
        <v>консолиди-                       рованный бюджет района</v>
      </c>
      <c r="AB7" s="95" t="str">
        <f t="shared" si="0"/>
        <v>в т.ч. бюджет района</v>
      </c>
      <c r="AC7" s="95" t="str">
        <f t="shared" si="0"/>
        <v>консолиди-                       рованный бюджет района</v>
      </c>
      <c r="AD7" s="95" t="str">
        <f t="shared" si="0"/>
        <v>в т.ч. бюджет района</v>
      </c>
      <c r="AE7" s="95" t="str">
        <f t="shared" si="0"/>
        <v>консолиди-                       рованный бюджет района</v>
      </c>
      <c r="AF7" s="95" t="str">
        <f t="shared" si="0"/>
        <v>в т.ч. бюджет района</v>
      </c>
      <c r="AG7" s="95" t="str">
        <f t="shared" si="0"/>
        <v>консолиди-                       рованный бюджет района</v>
      </c>
      <c r="AH7" s="95" t="str">
        <f t="shared" si="0"/>
        <v>в т.ч. бюджет района</v>
      </c>
      <c r="AI7" s="95" t="str">
        <f t="shared" si="0"/>
        <v>консолиди-                       рованный бюджет района</v>
      </c>
      <c r="AJ7" s="95" t="str">
        <f t="shared" si="0"/>
        <v>в т.ч. бюджет района</v>
      </c>
      <c r="AK7" s="95" t="str">
        <f t="shared" si="0"/>
        <v>консолиди-                       рованный бюджет района</v>
      </c>
      <c r="AL7" s="95" t="str">
        <f t="shared" si="0"/>
        <v>в т.ч. бюджет района</v>
      </c>
      <c r="AM7" s="95" t="str">
        <f t="shared" si="0"/>
        <v>консолиди-                       рованный бюджет района</v>
      </c>
      <c r="AN7" s="95" t="str">
        <f t="shared" si="0"/>
        <v>в т.ч. бюджет района</v>
      </c>
      <c r="AO7" s="95" t="str">
        <f t="shared" si="0"/>
        <v>консолиди-                       рованный бюджет района</v>
      </c>
      <c r="AP7" s="95" t="str">
        <f t="shared" si="0"/>
        <v>в т.ч. бюджет района</v>
      </c>
      <c r="AQ7" s="95" t="str">
        <f t="shared" si="0"/>
        <v>консолиди-                       рованный бюджет района</v>
      </c>
      <c r="AR7" s="95" t="str">
        <f t="shared" si="0"/>
        <v>в т.ч. бюджет района</v>
      </c>
      <c r="AS7" s="95" t="str">
        <f t="shared" si="0"/>
        <v>консолиди-                       рованный бюджет района</v>
      </c>
      <c r="AT7" s="95" t="str">
        <f t="shared" si="0"/>
        <v>в т.ч. бюджет района</v>
      </c>
      <c r="AU7" s="95" t="str">
        <f t="shared" si="0"/>
        <v>консолиди-                       рованный бюджет района</v>
      </c>
      <c r="AV7" s="95" t="str">
        <f t="shared" si="0"/>
        <v>в т.ч. бюджет района</v>
      </c>
      <c r="AW7" s="95" t="str">
        <f t="shared" si="0"/>
        <v>консолиди-                       рованный бюджет района</v>
      </c>
      <c r="AX7" s="95" t="str">
        <f t="shared" si="0"/>
        <v>в т.ч. бюджет района</v>
      </c>
      <c r="AY7" s="95" t="str">
        <f>E7</f>
        <v>консолиди-                       рованный бюджет района</v>
      </c>
      <c r="AZ7" s="95" t="s">
        <v>24</v>
      </c>
      <c r="BA7" s="95" t="str">
        <f>AY7</f>
        <v>консолиди-                       рованный бюджет района</v>
      </c>
      <c r="BB7" s="95" t="s">
        <v>25</v>
      </c>
      <c r="BC7" s="95" t="s">
        <v>27</v>
      </c>
      <c r="BD7" s="95" t="s">
        <v>24</v>
      </c>
      <c r="BE7" s="95" t="s">
        <v>27</v>
      </c>
      <c r="BF7" s="95" t="s">
        <v>24</v>
      </c>
      <c r="BG7" s="95" t="str">
        <f t="shared" ref="BG7:BJ7" si="1">BE7</f>
        <v>консолидированный бюджет района</v>
      </c>
      <c r="BH7" s="95" t="str">
        <f t="shared" si="1"/>
        <v>в т.ч. бюджет района</v>
      </c>
      <c r="BI7" s="95" t="str">
        <f t="shared" si="1"/>
        <v>консолидированный бюджет района</v>
      </c>
      <c r="BJ7" s="95" t="str">
        <f t="shared" si="1"/>
        <v>в т.ч. бюджет района</v>
      </c>
      <c r="BK7" s="95" t="s">
        <v>27</v>
      </c>
      <c r="BL7" s="95" t="s">
        <v>24</v>
      </c>
      <c r="BM7" s="95" t="str">
        <f t="shared" ref="BM7:BP7" si="2">BK7</f>
        <v>консолидированный бюджет района</v>
      </c>
      <c r="BN7" s="95" t="str">
        <f t="shared" si="2"/>
        <v>в т.ч. бюджет района</v>
      </c>
      <c r="BO7" s="95" t="str">
        <f t="shared" si="2"/>
        <v>консолидированный бюджет района</v>
      </c>
      <c r="BP7" s="95" t="str">
        <f t="shared" si="2"/>
        <v>в т.ч. бюджет района</v>
      </c>
      <c r="BQ7" s="95" t="str">
        <f t="shared" ref="BQ7:BR7" si="3">BM7</f>
        <v>консолидированный бюджет района</v>
      </c>
      <c r="BR7" s="95" t="str">
        <f t="shared" si="3"/>
        <v>в т.ч. бюджет района</v>
      </c>
      <c r="BS7" s="95" t="str">
        <f t="shared" ref="BS7:BV7" si="4">BQ7</f>
        <v>консолидированный бюджет района</v>
      </c>
      <c r="BT7" s="95" t="str">
        <f t="shared" si="4"/>
        <v>в т.ч. бюджет района</v>
      </c>
      <c r="BU7" s="95" t="str">
        <f t="shared" si="4"/>
        <v>консолидированный бюджет района</v>
      </c>
      <c r="BV7" s="95" t="str">
        <f t="shared" si="4"/>
        <v>в т.ч. бюджет района</v>
      </c>
      <c r="BW7" s="95" t="str">
        <f t="shared" ref="BW7:BX7" si="5">BS7</f>
        <v>консолидированный бюджет района</v>
      </c>
      <c r="BX7" s="95" t="str">
        <f t="shared" si="5"/>
        <v>в т.ч. бюджет района</v>
      </c>
      <c r="BY7" s="95" t="str">
        <f t="shared" ref="BY7:CB7" si="6">BW7</f>
        <v>консолидированный бюджет района</v>
      </c>
      <c r="BZ7" s="95" t="str">
        <f t="shared" si="6"/>
        <v>в т.ч. бюджет района</v>
      </c>
      <c r="CA7" s="95" t="str">
        <f t="shared" si="6"/>
        <v>консолидированный бюджет района</v>
      </c>
      <c r="CB7" s="95" t="str">
        <f t="shared" si="6"/>
        <v>в т.ч. бюджет района</v>
      </c>
      <c r="CC7" s="95" t="str">
        <f t="shared" ref="CC7:CD7" si="7">BY7</f>
        <v>консолидированный бюджет района</v>
      </c>
      <c r="CD7" s="95" t="str">
        <f t="shared" si="7"/>
        <v>в т.ч. бюджет района</v>
      </c>
      <c r="CE7" s="95" t="str">
        <f t="shared" ref="CE7:CH7" si="8">CC7</f>
        <v>консолидированный бюджет района</v>
      </c>
      <c r="CF7" s="95" t="str">
        <f t="shared" si="8"/>
        <v>в т.ч. бюджет района</v>
      </c>
      <c r="CG7" s="95" t="str">
        <f t="shared" si="8"/>
        <v>консолидированный бюджет района</v>
      </c>
      <c r="CH7" s="95" t="str">
        <f t="shared" si="8"/>
        <v>в т.ч. бюджет района</v>
      </c>
      <c r="CI7" s="95" t="str">
        <f t="shared" ref="CI7:CJ7" si="9">CE7</f>
        <v>консолидированный бюджет района</v>
      </c>
      <c r="CJ7" s="95" t="str">
        <f t="shared" si="9"/>
        <v>в т.ч. бюджет района</v>
      </c>
      <c r="CK7" s="95" t="str">
        <f t="shared" ref="CK7:CN7" si="10">CI7</f>
        <v>консолидированный бюджет района</v>
      </c>
      <c r="CL7" s="95" t="str">
        <f t="shared" si="10"/>
        <v>в т.ч. бюджет района</v>
      </c>
      <c r="CM7" s="95" t="str">
        <f t="shared" si="10"/>
        <v>консолидированный бюджет района</v>
      </c>
      <c r="CN7" s="95" t="str">
        <f t="shared" si="10"/>
        <v>в т.ч. бюджет района</v>
      </c>
      <c r="CO7" s="95" t="str">
        <f t="shared" ref="CO7:CP7" si="11">CK7</f>
        <v>консолидированный бюджет района</v>
      </c>
      <c r="CP7" s="95" t="str">
        <f t="shared" si="11"/>
        <v>в т.ч. бюджет района</v>
      </c>
      <c r="CQ7" s="95" t="str">
        <f t="shared" ref="CQ7:CT7" si="12">CO7</f>
        <v>консолидированный бюджет района</v>
      </c>
      <c r="CR7" s="95" t="str">
        <f t="shared" si="12"/>
        <v>в т.ч. бюджет района</v>
      </c>
      <c r="CS7" s="95" t="str">
        <f t="shared" si="12"/>
        <v>консолидированный бюджет района</v>
      </c>
      <c r="CT7" s="95" t="str">
        <f t="shared" si="12"/>
        <v>в т.ч. бюджет района</v>
      </c>
      <c r="CU7" s="95" t="str">
        <f t="shared" ref="CU7:CV7" si="13">CQ7</f>
        <v>консолидированный бюджет района</v>
      </c>
      <c r="CV7" s="95" t="str">
        <f t="shared" si="13"/>
        <v>в т.ч. бюджет района</v>
      </c>
      <c r="CW7" s="95" t="str">
        <f t="shared" ref="CW7:CZ7" si="14">CU7</f>
        <v>консолидированный бюджет района</v>
      </c>
      <c r="CX7" s="95" t="str">
        <f t="shared" si="14"/>
        <v>в т.ч. бюджет района</v>
      </c>
      <c r="CY7" s="95" t="str">
        <f t="shared" si="14"/>
        <v>консолидированный бюджет района</v>
      </c>
      <c r="CZ7" s="95" t="str">
        <f t="shared" si="14"/>
        <v>в т.ч. бюджет района</v>
      </c>
      <c r="DA7" s="95" t="str">
        <f t="shared" ref="DA7:DB7" si="15">CW7</f>
        <v>консолидированный бюджет района</v>
      </c>
      <c r="DB7" s="95" t="str">
        <f t="shared" si="15"/>
        <v>в т.ч. бюджет района</v>
      </c>
      <c r="DC7" s="95" t="str">
        <f t="shared" ref="DC7:DF7" si="16">DA7</f>
        <v>консолидированный бюджет района</v>
      </c>
      <c r="DD7" s="95" t="str">
        <f t="shared" si="16"/>
        <v>в т.ч. бюджет района</v>
      </c>
      <c r="DE7" s="95" t="str">
        <f t="shared" si="16"/>
        <v>консолидированный бюджет района</v>
      </c>
      <c r="DF7" s="95" t="str">
        <f t="shared" si="16"/>
        <v>в т.ч. бюджет района</v>
      </c>
      <c r="DG7" s="95" t="str">
        <f t="shared" ref="DG7:DH7" si="17">DC7</f>
        <v>консолидированный бюджет района</v>
      </c>
      <c r="DH7" s="95" t="str">
        <f t="shared" si="17"/>
        <v>в т.ч. бюджет района</v>
      </c>
      <c r="DI7" s="95" t="str">
        <f t="shared" ref="DI7:DL7" si="18">DG7</f>
        <v>консолидированный бюджет района</v>
      </c>
      <c r="DJ7" s="95" t="str">
        <f t="shared" si="18"/>
        <v>в т.ч. бюджет района</v>
      </c>
      <c r="DK7" s="95" t="str">
        <f t="shared" si="18"/>
        <v>консолидированный бюджет района</v>
      </c>
      <c r="DL7" s="95" t="str">
        <f t="shared" si="18"/>
        <v>в т.ч. бюджет района</v>
      </c>
      <c r="DM7" s="95" t="str">
        <f t="shared" ref="DM7:DN7" si="19">DI7</f>
        <v>консолидированный бюджет района</v>
      </c>
      <c r="DN7" s="95" t="str">
        <f t="shared" si="19"/>
        <v>в т.ч. бюджет района</v>
      </c>
      <c r="DO7" s="95" t="s">
        <v>27</v>
      </c>
      <c r="DP7" s="95" t="s">
        <v>24</v>
      </c>
      <c r="DQ7" s="95" t="s">
        <v>27</v>
      </c>
      <c r="DR7" s="95" t="s">
        <v>24</v>
      </c>
      <c r="DS7" s="95" t="s">
        <v>28</v>
      </c>
      <c r="DT7" s="13" t="s">
        <v>25</v>
      </c>
      <c r="DU7" s="95" t="s">
        <v>28</v>
      </c>
      <c r="DV7" s="13" t="s">
        <v>25</v>
      </c>
      <c r="DW7" s="14"/>
      <c r="DX7" s="15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</row>
    <row r="8" spans="1:268" s="18" customFormat="1" ht="23.25" customHeight="1">
      <c r="A8" s="224" t="s">
        <v>29</v>
      </c>
      <c r="B8" s="225"/>
      <c r="C8" s="17">
        <f>C9+C26</f>
        <v>756840.60000000009</v>
      </c>
      <c r="D8" s="17">
        <f t="shared" ref="D8:AX8" si="20">D9+D26</f>
        <v>649487.05000000005</v>
      </c>
      <c r="E8" s="17">
        <f t="shared" si="20"/>
        <v>826145.5</v>
      </c>
      <c r="F8" s="17">
        <f t="shared" si="20"/>
        <v>727624.8</v>
      </c>
      <c r="G8" s="17">
        <f t="shared" si="20"/>
        <v>34369.699999999997</v>
      </c>
      <c r="H8" s="17">
        <f t="shared" si="20"/>
        <v>29911.299999999996</v>
      </c>
      <c r="I8" s="17">
        <f t="shared" si="20"/>
        <v>79814</v>
      </c>
      <c r="J8" s="17">
        <f t="shared" si="20"/>
        <v>70031.199999999997</v>
      </c>
      <c r="K8" s="17">
        <f t="shared" si="20"/>
        <v>114183.69999999998</v>
      </c>
      <c r="L8" s="17">
        <f t="shared" si="20"/>
        <v>99942.5</v>
      </c>
      <c r="M8" s="17">
        <f t="shared" si="20"/>
        <v>59020.2</v>
      </c>
      <c r="N8" s="17">
        <f t="shared" si="20"/>
        <v>49649.399999999994</v>
      </c>
      <c r="O8" s="17">
        <f t="shared" si="20"/>
        <v>173203.89999999997</v>
      </c>
      <c r="P8" s="17">
        <f t="shared" si="20"/>
        <v>149591.9</v>
      </c>
      <c r="Q8" s="17">
        <f t="shared" si="20"/>
        <v>66559.199999999997</v>
      </c>
      <c r="R8" s="17">
        <f t="shared" si="20"/>
        <v>59250.41</v>
      </c>
      <c r="S8" s="17">
        <f t="shared" si="20"/>
        <v>239763.10000000003</v>
      </c>
      <c r="T8" s="17">
        <f t="shared" si="20"/>
        <v>208842.31</v>
      </c>
      <c r="U8" s="17">
        <f t="shared" si="20"/>
        <v>76321.000000000015</v>
      </c>
      <c r="V8" s="17">
        <f t="shared" si="20"/>
        <v>68711.899999999994</v>
      </c>
      <c r="W8" s="17">
        <f t="shared" si="20"/>
        <v>316084.10000000003</v>
      </c>
      <c r="X8" s="17">
        <f t="shared" si="20"/>
        <v>277554.21000000002</v>
      </c>
      <c r="Y8" s="17">
        <f t="shared" si="20"/>
        <v>111825.09999999999</v>
      </c>
      <c r="Z8" s="17">
        <f t="shared" si="20"/>
        <v>104940.59999999999</v>
      </c>
      <c r="AA8" s="17">
        <f t="shared" si="20"/>
        <v>427909.19999999995</v>
      </c>
      <c r="AB8" s="17">
        <f t="shared" si="20"/>
        <v>382494.81</v>
      </c>
      <c r="AC8" s="17">
        <f t="shared" si="20"/>
        <v>67007.600000000006</v>
      </c>
      <c r="AD8" s="17">
        <f t="shared" si="20"/>
        <v>59214.700000000004</v>
      </c>
      <c r="AE8" s="17">
        <f t="shared" si="20"/>
        <v>494916.80000000005</v>
      </c>
      <c r="AF8" s="17">
        <f t="shared" si="20"/>
        <v>441709.51</v>
      </c>
      <c r="AG8" s="17">
        <f t="shared" si="20"/>
        <v>43655.500000000015</v>
      </c>
      <c r="AH8" s="17">
        <f t="shared" si="20"/>
        <v>36125.589999999997</v>
      </c>
      <c r="AI8" s="17">
        <f t="shared" si="20"/>
        <v>538572.30000000005</v>
      </c>
      <c r="AJ8" s="17">
        <f t="shared" si="20"/>
        <v>477835.1</v>
      </c>
      <c r="AK8" s="17">
        <f t="shared" si="20"/>
        <v>63077.499999999971</v>
      </c>
      <c r="AL8" s="17">
        <f t="shared" si="20"/>
        <v>54159.300000000017</v>
      </c>
      <c r="AM8" s="17">
        <f t="shared" si="20"/>
        <v>601649.80000000005</v>
      </c>
      <c r="AN8" s="17">
        <f t="shared" si="20"/>
        <v>531994.4</v>
      </c>
      <c r="AO8" s="17">
        <f t="shared" si="20"/>
        <v>67487.300000000032</v>
      </c>
      <c r="AP8" s="17">
        <f t="shared" si="20"/>
        <v>56747.600000000042</v>
      </c>
      <c r="AQ8" s="17">
        <f t="shared" si="20"/>
        <v>669137.10000000009</v>
      </c>
      <c r="AR8" s="17">
        <f t="shared" si="20"/>
        <v>588742</v>
      </c>
      <c r="AS8" s="17">
        <f t="shared" si="20"/>
        <v>62196.800000000003</v>
      </c>
      <c r="AT8" s="17">
        <f t="shared" si="20"/>
        <v>54028.1</v>
      </c>
      <c r="AU8" s="17">
        <f t="shared" si="20"/>
        <v>731333.89999999991</v>
      </c>
      <c r="AV8" s="17">
        <f t="shared" si="20"/>
        <v>642770.10000000009</v>
      </c>
      <c r="AW8" s="17">
        <f t="shared" si="20"/>
        <v>94811.6</v>
      </c>
      <c r="AX8" s="17">
        <f t="shared" si="20"/>
        <v>84854.7</v>
      </c>
      <c r="AY8" s="17">
        <f>AY9+AY26</f>
        <v>787889.8</v>
      </c>
      <c r="AZ8" s="17">
        <f>AZ9+AZ26</f>
        <v>669386</v>
      </c>
      <c r="BA8" s="19">
        <f>IF(E8=0,1,AY8/E8-1)</f>
        <v>-4.6306249928130039E-2</v>
      </c>
      <c r="BB8" s="19">
        <f>IF(F8=0,1,AZ8/F8-1)</f>
        <v>-8.0039602828270939E-2</v>
      </c>
      <c r="BC8" s="17">
        <f t="shared" ref="BC8:BH8" si="21">BC9+BC26</f>
        <v>35984.300000000003</v>
      </c>
      <c r="BD8" s="17">
        <f t="shared" si="21"/>
        <v>29454</v>
      </c>
      <c r="BE8" s="17">
        <f t="shared" si="21"/>
        <v>60355</v>
      </c>
      <c r="BF8" s="17">
        <f t="shared" si="21"/>
        <v>52229.100000000006</v>
      </c>
      <c r="BG8" s="17">
        <f t="shared" si="21"/>
        <v>96339.299999999988</v>
      </c>
      <c r="BH8" s="17">
        <f t="shared" si="21"/>
        <v>81683.100000000006</v>
      </c>
      <c r="BI8" s="19">
        <f t="shared" ref="BI8:BJ39" si="22">IF(K8=0,1,BG8/K8-1)</f>
        <v>-0.15627799764765016</v>
      </c>
      <c r="BJ8" s="19">
        <f t="shared" si="22"/>
        <v>-0.18269905195487401</v>
      </c>
      <c r="BK8" s="17">
        <f t="shared" ref="BK8:DJ8" si="23">BK9+BK26</f>
        <v>60527.199999999997</v>
      </c>
      <c r="BL8" s="17">
        <f t="shared" si="23"/>
        <v>54054.3</v>
      </c>
      <c r="BM8" s="17">
        <f t="shared" si="23"/>
        <v>156866.5</v>
      </c>
      <c r="BN8" s="17">
        <f t="shared" si="23"/>
        <v>135737.40000000002</v>
      </c>
      <c r="BO8" s="19">
        <f t="shared" ref="BO8:BP39" si="24">IF(O8=0,1,BM8/O8-1)</f>
        <v>-9.4324665899555238E-2</v>
      </c>
      <c r="BP8" s="19">
        <f t="shared" si="24"/>
        <v>-9.2615308716581413E-2</v>
      </c>
      <c r="BQ8" s="17">
        <f t="shared" si="23"/>
        <v>0</v>
      </c>
      <c r="BR8" s="17">
        <f t="shared" si="23"/>
        <v>0</v>
      </c>
      <c r="BS8" s="17">
        <f t="shared" si="23"/>
        <v>156866.5</v>
      </c>
      <c r="BT8" s="17">
        <f t="shared" si="23"/>
        <v>135737.40000000002</v>
      </c>
      <c r="BU8" s="19">
        <f t="shared" ref="BU8:BV39" si="25">IF(S8=0,1,BS8/S8-1)</f>
        <v>-0.34574377792078936</v>
      </c>
      <c r="BV8" s="19">
        <f t="shared" si="25"/>
        <v>-0.35004836903020264</v>
      </c>
      <c r="BW8" s="17">
        <f t="shared" ref="BW8:BX8" si="26">BW9+BW26</f>
        <v>0</v>
      </c>
      <c r="BX8" s="17">
        <f t="shared" si="26"/>
        <v>0</v>
      </c>
      <c r="BY8" s="17">
        <f t="shared" si="23"/>
        <v>156866.5</v>
      </c>
      <c r="BZ8" s="17">
        <f t="shared" si="23"/>
        <v>135737.40000000002</v>
      </c>
      <c r="CA8" s="19">
        <f t="shared" ref="CA8:CB39" si="27">IF(W8=0,1,BY8/W8-1)</f>
        <v>-0.50371910513689244</v>
      </c>
      <c r="CB8" s="19">
        <f t="shared" si="27"/>
        <v>-0.51095175245225066</v>
      </c>
      <c r="CC8" s="17">
        <f t="shared" ref="CC8:CD8" si="28">CC9+CC26</f>
        <v>0</v>
      </c>
      <c r="CD8" s="17">
        <f t="shared" si="28"/>
        <v>0</v>
      </c>
      <c r="CE8" s="17">
        <f t="shared" si="23"/>
        <v>156866.5</v>
      </c>
      <c r="CF8" s="17">
        <f t="shared" si="23"/>
        <v>135737.40000000002</v>
      </c>
      <c r="CG8" s="19">
        <f t="shared" ref="CG8:CH39" si="29">IF(AA8=0,1,CE8/AA8-1)</f>
        <v>-0.6334117144478314</v>
      </c>
      <c r="CH8" s="19">
        <f t="shared" si="29"/>
        <v>-0.64512616524130084</v>
      </c>
      <c r="CI8" s="17">
        <f t="shared" ref="CI8:CJ8" si="30">CI9+CI26</f>
        <v>0</v>
      </c>
      <c r="CJ8" s="17">
        <f t="shared" si="30"/>
        <v>0</v>
      </c>
      <c r="CK8" s="17">
        <f t="shared" si="23"/>
        <v>156866.5</v>
      </c>
      <c r="CL8" s="17">
        <f t="shared" si="23"/>
        <v>135737.40000000002</v>
      </c>
      <c r="CM8" s="19">
        <f t="shared" ref="CM8:CN39" si="31">IF(AE8=0,1,CK8/AE8-1)</f>
        <v>-0.68304470569598774</v>
      </c>
      <c r="CN8" s="19">
        <f t="shared" si="31"/>
        <v>-0.69269984701031229</v>
      </c>
      <c r="CO8" s="17">
        <f t="shared" ref="CO8:CP8" si="32">CO9+CO26</f>
        <v>0</v>
      </c>
      <c r="CP8" s="17">
        <f t="shared" si="32"/>
        <v>0</v>
      </c>
      <c r="CQ8" s="17">
        <f t="shared" si="23"/>
        <v>156866.5</v>
      </c>
      <c r="CR8" s="17">
        <f t="shared" si="23"/>
        <v>135737.40000000002</v>
      </c>
      <c r="CS8" s="19">
        <f t="shared" ref="CS8:CT39" si="33">IF(AI8=0,1,CQ8/AI8-1)</f>
        <v>-0.70873641291986234</v>
      </c>
      <c r="CT8" s="19">
        <f t="shared" si="33"/>
        <v>-0.71593254660446659</v>
      </c>
      <c r="CU8" s="17">
        <f t="shared" ref="CU8:CV8" si="34">CU9+CU26</f>
        <v>0</v>
      </c>
      <c r="CV8" s="17">
        <f t="shared" si="34"/>
        <v>0</v>
      </c>
      <c r="CW8" s="17">
        <f t="shared" si="23"/>
        <v>156866.5</v>
      </c>
      <c r="CX8" s="17">
        <f t="shared" si="23"/>
        <v>135737.40000000002</v>
      </c>
      <c r="CY8" s="19">
        <f t="shared" ref="CY8:CZ39" si="35">IF(AM8=0,1,CW8/AM8-1)</f>
        <v>-0.73927274637172657</v>
      </c>
      <c r="CZ8" s="19">
        <f t="shared" si="35"/>
        <v>-0.74485182550793771</v>
      </c>
      <c r="DA8" s="17">
        <f t="shared" ref="DA8:DB8" si="36">DA9+DA26</f>
        <v>0</v>
      </c>
      <c r="DB8" s="17">
        <f t="shared" si="36"/>
        <v>0</v>
      </c>
      <c r="DC8" s="17">
        <f t="shared" si="23"/>
        <v>156866.5</v>
      </c>
      <c r="DD8" s="17">
        <f t="shared" si="23"/>
        <v>135737.40000000002</v>
      </c>
      <c r="DE8" s="19">
        <f t="shared" ref="DE8:DF39" si="37">IF(AQ8=0,1,DC8/AQ8-1)</f>
        <v>-0.76556896934873286</v>
      </c>
      <c r="DF8" s="19">
        <f t="shared" si="37"/>
        <v>-0.76944502005972049</v>
      </c>
      <c r="DG8" s="17">
        <f t="shared" ref="DG8:DH8" si="38">DG9+DG26</f>
        <v>0</v>
      </c>
      <c r="DH8" s="17">
        <f t="shared" si="38"/>
        <v>0</v>
      </c>
      <c r="DI8" s="17">
        <f t="shared" si="23"/>
        <v>156866.5</v>
      </c>
      <c r="DJ8" s="17">
        <f t="shared" si="23"/>
        <v>135737.40000000002</v>
      </c>
      <c r="DK8" s="19">
        <f t="shared" ref="DK8:DL39" si="39">IF(AU8=0,1,DI8/AU8-1)</f>
        <v>-0.78550631934332593</v>
      </c>
      <c r="DL8" s="19">
        <f t="shared" si="39"/>
        <v>-0.7888243401489895</v>
      </c>
      <c r="DM8" s="17">
        <f t="shared" ref="DM8:DN8" si="40">DM9+DM26</f>
        <v>0</v>
      </c>
      <c r="DN8" s="17">
        <f t="shared" si="40"/>
        <v>0</v>
      </c>
      <c r="DO8" s="17">
        <f>DO9+DO26</f>
        <v>0</v>
      </c>
      <c r="DP8" s="17">
        <f>DP9+DP26</f>
        <v>0</v>
      </c>
      <c r="DQ8" s="17">
        <f>DQ9+DQ26</f>
        <v>726075.3</v>
      </c>
      <c r="DR8" s="17">
        <f>DR9+DR26</f>
        <v>611651.1</v>
      </c>
      <c r="DS8" s="19">
        <f>IF($AY$8=0,1,DQ8/$AY$8-1)</f>
        <v>-7.8455768814369775E-2</v>
      </c>
      <c r="DT8" s="19">
        <f>IF($AZ$8=0,1,DR8/$AZ$8-1)</f>
        <v>-8.6250534071522278E-2</v>
      </c>
      <c r="DU8" s="19">
        <f>IF($E$8=0,1,DQ8/$E$8-1)</f>
        <v>-0.12112902630347799</v>
      </c>
      <c r="DV8" s="19">
        <f>IF($E$8=0,1,DR8/$E$8-1)</f>
        <v>-0.2596327160288352</v>
      </c>
      <c r="DW8" s="21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</row>
    <row r="9" spans="1:268" s="59" customFormat="1" ht="18" customHeight="1">
      <c r="A9" s="335" t="s">
        <v>30</v>
      </c>
      <c r="B9" s="336"/>
      <c r="C9" s="23">
        <f t="shared" ref="C9" si="41">C10+C12+C13+C14+C15+C16+C17+C18+C19+C20+C21+C22+C24+C25+C23</f>
        <v>388115.60000000003</v>
      </c>
      <c r="D9" s="23">
        <f t="shared" ref="D9" si="42">D10+D12+D13+D16+D17+D18+D19+D20+D21+D22+D24+D25+D23</f>
        <v>280088.65999999997</v>
      </c>
      <c r="E9" s="23">
        <f t="shared" ref="E9" si="43">E10+E12+E13+E14+E15+E16+E17+E18+E19+E20+E21+E22+E24+E25+E23</f>
        <v>402069.69999999995</v>
      </c>
      <c r="F9" s="23">
        <f t="shared" ref="F9" si="44">F10+F12+F13+F16+F17+F18+F19+F20+F21+F22+F24+F25+F23</f>
        <v>302563.10000000003</v>
      </c>
      <c r="G9" s="23">
        <f t="shared" ref="G9" si="45">G10+G12+G13+G14+G15+G16+G17+G18+G19+G20+G21+G22+G24+G25+G23</f>
        <v>21193.200000000001</v>
      </c>
      <c r="H9" s="23">
        <f>H10+H12+H13+H16+H17+H18+H19+H20+H21+H22+H24+H25+H23</f>
        <v>16713.599999999999</v>
      </c>
      <c r="I9" s="23">
        <f t="shared" ref="I9" si="46">I10+I12+I13+I14+I15+I16+I17+I18+I19+I20+I21+I22+I24+I25+I23</f>
        <v>55658.399999999994</v>
      </c>
      <c r="J9" s="23">
        <f>J10+J12+J13+J16+J17+J18+J19+J20+J21+J22+J24+J25+J23</f>
        <v>45795.1</v>
      </c>
      <c r="K9" s="23">
        <f t="shared" ref="K9" si="47">K10+K12+K13+K14+K15+K16+K17+K18+K19+K20+K21+K22+K24+K25+K23</f>
        <v>76851.599999999991</v>
      </c>
      <c r="L9" s="23">
        <f t="shared" ref="L9" si="48">L10+L12+L13+L16+L17+L18+L19+L20+L21+L22+L24+L25+L23</f>
        <v>62508.700000000004</v>
      </c>
      <c r="M9" s="23">
        <f t="shared" ref="M9" si="49">M10+M12+M13+M14+M15+M16+M17+M18+M19+M20+M21+M22+M24+M25+M23</f>
        <v>31184.800000000003</v>
      </c>
      <c r="N9" s="23">
        <f t="shared" ref="N9" si="50">N10+N12+N13+N16+N17+N18+N19+N20+N21+N22+N24+N25+N23</f>
        <v>21676.7</v>
      </c>
      <c r="O9" s="23">
        <f t="shared" ref="O9" si="51">O10+O12+O13+O14+O15+O16+O17+O18+O19+O20+O21+O22+O24+O25+O23</f>
        <v>108036.39999999998</v>
      </c>
      <c r="P9" s="23">
        <f t="shared" ref="P9" si="52">P10+P12+P13+P16+P17+P18+P19+P20+P21+P22+P24+P25+P23</f>
        <v>84185.4</v>
      </c>
      <c r="Q9" s="23">
        <f t="shared" ref="Q9" si="53">Q10+Q12+Q13+Q14+Q15+Q16+Q17+Q18+Q19+Q20+Q21+Q22+Q24+Q25+Q23</f>
        <v>34234.899999999994</v>
      </c>
      <c r="R9" s="23">
        <f t="shared" ref="R9" si="54">R10+R12+R13+R16+R17+R18+R19+R20+R21+R22+R24+R25+R23</f>
        <v>26874.510000000002</v>
      </c>
      <c r="S9" s="23">
        <f t="shared" ref="S9" si="55">S10+S12+S13+S14+S15+S16+S17+S18+S19+S20+S21+S22+S24+S25+S23</f>
        <v>142271.30000000002</v>
      </c>
      <c r="T9" s="23">
        <f t="shared" ref="T9" si="56">T10+T12+T13+T16+T17+T18+T19+T20+T21+T22+T24+T25+T23</f>
        <v>111059.90999999999</v>
      </c>
      <c r="U9" s="23">
        <f t="shared" ref="U9" si="57">U10+U12+U13+U14+U15+U16+U17+U18+U19+U20+U21+U22+U24+U25+U23</f>
        <v>35862.6</v>
      </c>
      <c r="V9" s="23">
        <f t="shared" ref="V9" si="58">V10+V12+V13+V16+V17+V18+V19+V20+V21+V22+V24+V25+V23</f>
        <v>28244.400000000001</v>
      </c>
      <c r="W9" s="23">
        <f t="shared" ref="W9" si="59">W10+W12+W13+W14+W15+W16+W17+W18+W19+W20+W21+W22+W24+W25+W23</f>
        <v>178133.90000000002</v>
      </c>
      <c r="X9" s="23">
        <f t="shared" ref="X9" si="60">X10+X12+X13+X16+X17+X18+X19+X20+X21+X22+X24+X25+X23</f>
        <v>139304.31000000003</v>
      </c>
      <c r="Y9" s="23">
        <f t="shared" ref="Y9" si="61">Y10+Y12+Y13+Y14+Y15+Y16+Y17+Y18+Y19+Y20+Y21+Y22+Y24+Y25+Y23</f>
        <v>26016.400000000005</v>
      </c>
      <c r="Z9" s="23">
        <f t="shared" ref="Z9" si="62">Z10+Z12+Z13+Z16+Z17+Z18+Z19+Z20+Z21+Z22+Z24+Z25+Z23</f>
        <v>18973.2</v>
      </c>
      <c r="AA9" s="23">
        <f t="shared" ref="AA9" si="63">AA10+AA12+AA13+AA14+AA15+AA16+AA17+AA18+AA19+AA20+AA21+AA22+AA24+AA25+AA23</f>
        <v>204150.30000000002</v>
      </c>
      <c r="AB9" s="23">
        <f t="shared" ref="AB9" si="64">AB10+AB12+AB13+AB16+AB17+AB18+AB19+AB20+AB21+AB22+AB24+AB25+AB23</f>
        <v>158277.51</v>
      </c>
      <c r="AC9" s="23">
        <f t="shared" ref="AC9" si="65">AC10+AC12+AC13+AC14+AC15+AC16+AC17+AC18+AC19+AC20+AC21+AC22+AC24+AC25+AC23</f>
        <v>37321</v>
      </c>
      <c r="AD9" s="23">
        <f t="shared" ref="AD9" si="66">AD10+AD12+AD13+AD16+AD17+AD18+AD19+AD20+AD21+AD22+AD24+AD25+AD23</f>
        <v>29336.100000000006</v>
      </c>
      <c r="AE9" s="23">
        <f t="shared" ref="AE9" si="67">AE10+AE12+AE13+AE14+AE15+AE16+AE17+AE18+AE19+AE20+AE21+AE22+AE24+AE25+AE23</f>
        <v>241471.30000000002</v>
      </c>
      <c r="AF9" s="23">
        <f t="shared" ref="AF9" si="68">AF10+AF12+AF13+AF16+AF17+AF18+AF19+AF20+AF21+AF22+AF24+AF25+AF23</f>
        <v>187613.61000000002</v>
      </c>
      <c r="AG9" s="23">
        <f t="shared" ref="AG9" si="69">AG10+AG12+AG13+AG14+AG15+AG16+AG17+AG18+AG19+AG20+AG21+AG22+AG24+AG25+AG23</f>
        <v>25612.40000000002</v>
      </c>
      <c r="AH9" s="23">
        <f t="shared" ref="AH9" si="70">AH10+AH12+AH13+AH16+AH17+AH18+AH19+AH20+AH21+AH22+AH24+AH25+AH23</f>
        <v>17990.789999999986</v>
      </c>
      <c r="AI9" s="23">
        <f t="shared" ref="AI9" si="71">AI10+AI12+AI13+AI14+AI15+AI16+AI17+AI18+AI19+AI20+AI21+AI22+AI24+AI25+AI23</f>
        <v>267083.7</v>
      </c>
      <c r="AJ9" s="23">
        <f t="shared" ref="AJ9" si="72">AJ10+AJ12+AJ13+AJ16+AJ17+AJ18+AJ19+AJ20+AJ21+AJ22+AJ24+AJ25+AJ23</f>
        <v>205604.4</v>
      </c>
      <c r="AK9" s="23">
        <f t="shared" ref="AK9" si="73">AK10+AK12+AK13+AK14+AK15+AK16+AK17+AK18+AK19+AK20+AK21+AK22+AK24+AK25+AK23</f>
        <v>32101.799999999981</v>
      </c>
      <c r="AL9" s="23">
        <f t="shared" ref="AL9" si="74">AL10+AL12+AL13+AL16+AL17+AL18+AL19+AL20+AL21+AL22+AL24+AL25+AL23</f>
        <v>23077.600000000028</v>
      </c>
      <c r="AM9" s="23">
        <f t="shared" ref="AM9" si="75">AM10+AM12+AM13+AM14+AM15+AM16+AM17+AM18+AM19+AM20+AM21+AM22+AM24+AM25+AM23</f>
        <v>299185.5</v>
      </c>
      <c r="AN9" s="23">
        <f t="shared" ref="AN9" si="76">AN10+AN12+AN13+AN16+AN17+AN18+AN19+AN20+AN21+AN22+AN24+AN25+AN23</f>
        <v>228682.00000000006</v>
      </c>
      <c r="AO9" s="23">
        <f t="shared" ref="AO9" si="77">AO10+AO12+AO13+AO14+AO15+AO16+AO17+AO18+AO19+AO20+AO21+AO22+AO24+AO25+AO23</f>
        <v>37130.399999999994</v>
      </c>
      <c r="AP9" s="23">
        <f t="shared" ref="AP9" si="78">AP10+AP12+AP13+AP16+AP17+AP18+AP19+AP20+AP21+AP22+AP24+AP25+AP23</f>
        <v>26464.700000000023</v>
      </c>
      <c r="AQ9" s="23">
        <f t="shared" ref="AQ9" si="79">AQ10+AQ12+AQ13+AQ14+AQ15+AQ16+AQ17+AQ18+AQ19+AQ20+AQ21+AQ22+AQ24+AQ25+AQ23</f>
        <v>336315.9</v>
      </c>
      <c r="AR9" s="23">
        <f t="shared" ref="AR9" si="80">AR10+AR12+AR13+AR16+AR17+AR18+AR19+AR20+AR21+AR22+AR24+AR25+AR23</f>
        <v>255146.70000000004</v>
      </c>
      <c r="AS9" s="23">
        <f t="shared" ref="AS9" si="81">AS10+AS12+AS13+AS14+AS15+AS16+AS17+AS18+AS19+AS20+AS21+AS22+AS24+AS25+AS23</f>
        <v>29257.9</v>
      </c>
      <c r="AT9" s="23">
        <f t="shared" ref="AT9" si="82">AT10+AT12+AT13+AT16+AT17+AT18+AT19+AT20+AT21+AT22+AT24+AT25+AT23</f>
        <v>20998.400000000001</v>
      </c>
      <c r="AU9" s="23">
        <f t="shared" ref="AU9" si="83">AU10+AU12+AU13+AU14+AU15+AU16+AU17+AU18+AU19+AU20+AU21+AU22+AU24+AU25+AU23</f>
        <v>365573.79999999993</v>
      </c>
      <c r="AV9" s="23">
        <f t="shared" ref="AV9" si="84">AV10+AV12+AV13+AV16+AV17+AV18+AV19+AV20+AV21+AV22+AV24+AV25+AV23</f>
        <v>276145.10000000009</v>
      </c>
      <c r="AW9" s="23">
        <f t="shared" ref="AW9" si="85">AW10+AW12+AW13+AW14+AW15+AW16+AW17+AW18+AW19+AW20+AW21+AW22+AW24+AW25+AW23</f>
        <v>36495.9</v>
      </c>
      <c r="AX9" s="23">
        <f t="shared" ref="AX9" si="86">AX10+AX12+AX13+AX16+AX17+AX18+AX19+AX20+AX21+AX22+AX24+AX25+AX23</f>
        <v>26418</v>
      </c>
      <c r="AY9" s="23">
        <f>AY10+AY12+AY13+AY14+AY15+AY16+AY17+AY18+AY19+AY20+AY21+AY22+AY24+AY25</f>
        <v>464777.6</v>
      </c>
      <c r="AZ9" s="23">
        <f>AZ10+AZ12+AZ13+AZ16+AZ17+AZ18+AZ19+AZ20+AZ21+AZ22+AZ24+AZ25</f>
        <v>345413</v>
      </c>
      <c r="BA9" s="54">
        <f>IF(E9=0,1,AY9/E9-1)</f>
        <v>0.15596275969067053</v>
      </c>
      <c r="BB9" s="54">
        <f>IF(F9=0,1,AZ9/F9-1)</f>
        <v>0.14162302012373607</v>
      </c>
      <c r="BC9" s="23">
        <f t="shared" ref="BC9:DQ9" si="87">BC10+BC12+BC13+BC14+BC15+BC16+BC17+BC18+BC19+BC20+BC21+BC22+BC24+BC25+BC23</f>
        <v>24934.799999999999</v>
      </c>
      <c r="BD9" s="23">
        <f>BD10+BD12+BD13+BD16+BD17+BD18+BD19+BD20+BD21+BD22+BD24+BD25+BD23</f>
        <v>18404.900000000001</v>
      </c>
      <c r="BE9" s="23">
        <f t="shared" si="87"/>
        <v>32889.1</v>
      </c>
      <c r="BF9" s="23">
        <f t="shared" ref="BF9" si="88">BF10+BF12+BF13+BF16+BF17+BF18+BF19+BF20+BF21+BF22+BF24+BF25+BF23</f>
        <v>24670.9</v>
      </c>
      <c r="BG9" s="23">
        <f t="shared" si="87"/>
        <v>57823.899999999994</v>
      </c>
      <c r="BH9" s="23">
        <f t="shared" ref="BH9" si="89">BH10+BH12+BH13+BH16+BH17+BH18+BH19+BH20+BH21+BH22+BH24+BH25+BH23</f>
        <v>43075.8</v>
      </c>
      <c r="BI9" s="54">
        <f>IF(K9=0,1,BG9/K9-1)</f>
        <v>-0.24759016077739437</v>
      </c>
      <c r="BJ9" s="54">
        <f>IF(L9=0,1,BH9/L9-1)</f>
        <v>-0.31088312506899041</v>
      </c>
      <c r="BK9" s="23">
        <f t="shared" si="87"/>
        <v>31827.200000000001</v>
      </c>
      <c r="BL9" s="23">
        <f t="shared" ref="BL9" si="90">BL10+BL12+BL13+BL16+BL17+BL18+BL19+BL20+BL21+BL22+BL24+BL25+BL23</f>
        <v>25894.500000000004</v>
      </c>
      <c r="BM9" s="23">
        <f t="shared" si="87"/>
        <v>89651.099999999991</v>
      </c>
      <c r="BN9" s="23">
        <f t="shared" ref="BN9" si="91">BN10+BN12+BN13+BN16+BN17+BN18+BN19+BN20+BN21+BN22+BN24+BN25+BN23</f>
        <v>68970.300000000017</v>
      </c>
      <c r="BO9" s="54">
        <f t="shared" si="24"/>
        <v>-0.17017690333998536</v>
      </c>
      <c r="BP9" s="54">
        <f t="shared" si="24"/>
        <v>-0.18073323878012071</v>
      </c>
      <c r="BQ9" s="23">
        <f t="shared" si="87"/>
        <v>0</v>
      </c>
      <c r="BR9" s="23">
        <f t="shared" ref="BR9" si="92">BR10+BR12+BR13+BR16+BR17+BR18+BR19+BR20+BR21+BR22+BR24+BR25+BR23</f>
        <v>0</v>
      </c>
      <c r="BS9" s="23">
        <f t="shared" si="87"/>
        <v>89651.099999999991</v>
      </c>
      <c r="BT9" s="23">
        <f t="shared" ref="BT9" si="93">BT10+BT12+BT13+BT16+BT17+BT18+BT19+BT20+BT21+BT22+BT24+BT25+BT23</f>
        <v>68970.300000000017</v>
      </c>
      <c r="BU9" s="54">
        <f t="shared" si="25"/>
        <v>-0.36985815129263611</v>
      </c>
      <c r="BV9" s="54">
        <f t="shared" si="25"/>
        <v>-0.37898112829372876</v>
      </c>
      <c r="BW9" s="23">
        <f t="shared" si="87"/>
        <v>0</v>
      </c>
      <c r="BX9" s="23">
        <f t="shared" ref="BX9" si="94">BX10+BX12+BX13+BX16+BX17+BX18+BX19+BX20+BX21+BX22+BX24+BX25+BX23</f>
        <v>0</v>
      </c>
      <c r="BY9" s="23">
        <f t="shared" si="87"/>
        <v>89651.099999999991</v>
      </c>
      <c r="BZ9" s="23">
        <f t="shared" ref="BZ9" si="95">BZ10+BZ12+BZ13+BZ16+BZ17+BZ18+BZ19+BZ20+BZ21+BZ22+BZ24+BZ25+BZ23</f>
        <v>68970.300000000017</v>
      </c>
      <c r="CA9" s="54">
        <f t="shared" si="27"/>
        <v>-0.49672072525218403</v>
      </c>
      <c r="CB9" s="54">
        <f t="shared" si="27"/>
        <v>-0.50489471574856504</v>
      </c>
      <c r="CC9" s="23">
        <f t="shared" si="87"/>
        <v>0</v>
      </c>
      <c r="CD9" s="23">
        <f t="shared" ref="CD9" si="96">CD10+CD12+CD13+CD16+CD17+CD18+CD19+CD20+CD21+CD22+CD24+CD25+CD23</f>
        <v>0</v>
      </c>
      <c r="CE9" s="23">
        <f t="shared" si="87"/>
        <v>89651.099999999991</v>
      </c>
      <c r="CF9" s="23">
        <f t="shared" ref="CF9" si="97">CF10+CF12+CF13+CF16+CF17+CF18+CF19+CF20+CF21+CF22+CF24+CF25+CF23</f>
        <v>68970.300000000017</v>
      </c>
      <c r="CG9" s="54">
        <f t="shared" si="29"/>
        <v>-0.56085736832128097</v>
      </c>
      <c r="CH9" s="54">
        <f>IF(AB9=0,1,CF9/AB9-1)</f>
        <v>-0.5642444716245536</v>
      </c>
      <c r="CI9" s="23">
        <f t="shared" si="87"/>
        <v>0</v>
      </c>
      <c r="CJ9" s="23">
        <f t="shared" ref="CJ9" si="98">CJ10+CJ12+CJ13+CJ16+CJ17+CJ18+CJ19+CJ20+CJ21+CJ22+CJ24+CJ25+CJ23</f>
        <v>0</v>
      </c>
      <c r="CK9" s="23">
        <f t="shared" si="87"/>
        <v>89651.099999999991</v>
      </c>
      <c r="CL9" s="23">
        <f t="shared" ref="CL9" si="99">CL10+CL12+CL13+CL16+CL17+CL18+CL19+CL20+CL21+CL22+CL24+CL25+CL23</f>
        <v>68970.300000000017</v>
      </c>
      <c r="CM9" s="54">
        <f t="shared" si="31"/>
        <v>-0.62872979107662075</v>
      </c>
      <c r="CN9" s="54">
        <f t="shared" si="31"/>
        <v>-0.63238114761503705</v>
      </c>
      <c r="CO9" s="23">
        <f t="shared" si="87"/>
        <v>0</v>
      </c>
      <c r="CP9" s="23">
        <f t="shared" ref="CP9" si="100">CP10+CP12+CP13+CP16+CP17+CP18+CP19+CP20+CP21+CP22+CP24+CP25+CP23</f>
        <v>0</v>
      </c>
      <c r="CQ9" s="23">
        <f t="shared" si="87"/>
        <v>89651.099999999991</v>
      </c>
      <c r="CR9" s="23">
        <f t="shared" ref="CR9" si="101">CR10+CR12+CR13+CR16+CR17+CR18+CR19+CR20+CR21+CR22+CR24+CR25+CR23</f>
        <v>68970.300000000017</v>
      </c>
      <c r="CS9" s="54">
        <f t="shared" si="33"/>
        <v>-0.66433331573585364</v>
      </c>
      <c r="CT9" s="54">
        <f t="shared" si="33"/>
        <v>-0.66454852133514641</v>
      </c>
      <c r="CU9" s="23">
        <f t="shared" si="87"/>
        <v>0</v>
      </c>
      <c r="CV9" s="23">
        <f t="shared" ref="CV9" si="102">CV10+CV12+CV13+CV16+CV17+CV18+CV19+CV20+CV21+CV22+CV24+CV25+CV23</f>
        <v>0</v>
      </c>
      <c r="CW9" s="23">
        <f t="shared" si="87"/>
        <v>89651.099999999991</v>
      </c>
      <c r="CX9" s="23">
        <f t="shared" ref="CX9" si="103">CX10+CX12+CX13+CX16+CX17+CX18+CX19+CX20+CX21+CX22+CX24+CX25+CX23</f>
        <v>68970.300000000017</v>
      </c>
      <c r="CY9" s="54">
        <f t="shared" si="35"/>
        <v>-0.70034944875336547</v>
      </c>
      <c r="CZ9" s="54">
        <f t="shared" si="35"/>
        <v>-0.69840083609553871</v>
      </c>
      <c r="DA9" s="23">
        <f t="shared" si="87"/>
        <v>0</v>
      </c>
      <c r="DB9" s="23">
        <f t="shared" ref="DB9" si="104">DB10+DB12+DB13+DB16+DB17+DB18+DB19+DB20+DB21+DB22+DB24+DB25+DB23</f>
        <v>0</v>
      </c>
      <c r="DC9" s="23">
        <f t="shared" si="87"/>
        <v>89651.099999999991</v>
      </c>
      <c r="DD9" s="23">
        <f t="shared" ref="DD9" si="105">DD10+DD12+DD13+DD16+DD17+DD18+DD19+DD20+DD21+DD22+DD24+DD25+DD23</f>
        <v>68970.300000000017</v>
      </c>
      <c r="DE9" s="54">
        <f t="shared" si="37"/>
        <v>-0.73343187164210799</v>
      </c>
      <c r="DF9" s="54">
        <f t="shared" si="37"/>
        <v>-0.72968374664457736</v>
      </c>
      <c r="DG9" s="23">
        <f t="shared" si="87"/>
        <v>0</v>
      </c>
      <c r="DH9" s="23">
        <f t="shared" ref="DH9" si="106">DH10+DH12+DH13+DH16+DH17+DH18+DH19+DH20+DH21+DH22+DH24+DH25+DH23</f>
        <v>0</v>
      </c>
      <c r="DI9" s="23">
        <f t="shared" si="87"/>
        <v>89651.099999999991</v>
      </c>
      <c r="DJ9" s="23">
        <f t="shared" ref="DJ9" si="107">DJ10+DJ12+DJ13+DJ16+DJ17+DJ18+DJ19+DJ20+DJ21+DJ22+DJ24+DJ25+DJ23</f>
        <v>68970.300000000017</v>
      </c>
      <c r="DK9" s="54">
        <f t="shared" si="39"/>
        <v>-0.75476606912202127</v>
      </c>
      <c r="DL9" s="54">
        <f t="shared" si="39"/>
        <v>-0.75023891425196387</v>
      </c>
      <c r="DM9" s="23">
        <f t="shared" si="87"/>
        <v>0</v>
      </c>
      <c r="DN9" s="23">
        <f t="shared" ref="DN9:DR9" si="108">DN10+DN12+DN13+DN16+DN17+DN18+DN19+DN20+DN21+DN22+DN24+DN25+DN23</f>
        <v>0</v>
      </c>
      <c r="DO9" s="23">
        <f t="shared" si="87"/>
        <v>0</v>
      </c>
      <c r="DP9" s="23">
        <f t="shared" si="108"/>
        <v>0</v>
      </c>
      <c r="DQ9" s="23">
        <f t="shared" si="87"/>
        <v>404325.1</v>
      </c>
      <c r="DR9" s="23">
        <f t="shared" si="108"/>
        <v>289040.09999999998</v>
      </c>
      <c r="DS9" s="54">
        <f>IF($AY$9=0,1,DQ9/$AY$9-1)</f>
        <v>-0.13006758501270288</v>
      </c>
      <c r="DT9" s="54">
        <f>IF($AZ$9=0,1,DR9/$AZ$9-1)</f>
        <v>-0.16320433799538525</v>
      </c>
      <c r="DU9" s="54">
        <f>IF($E$9=0,1,DQ9/$E$9-1)</f>
        <v>5.6094751730857428E-3</v>
      </c>
      <c r="DV9" s="54">
        <f>IF($E$9=0,1,DR9/$E$9-1)</f>
        <v>-0.28111941785217831</v>
      </c>
      <c r="DW9" s="52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</row>
    <row r="10" spans="1:268" s="62" customFormat="1" ht="18" customHeight="1">
      <c r="A10" s="333" t="s">
        <v>31</v>
      </c>
      <c r="B10" s="334"/>
      <c r="C10" s="26">
        <f>'[1]прогноз '!B18</f>
        <v>208697.3</v>
      </c>
      <c r="D10" s="26">
        <f>'[1]прогноз '!C18</f>
        <v>150494.9</v>
      </c>
      <c r="E10" s="26">
        <f>G10+I10+M10+Q10+U10+Y10+AC10+AG10+AK10+AO10+AS10+AW10</f>
        <v>206610.39999999994</v>
      </c>
      <c r="F10" s="26">
        <f>H10+J10+N10+R10+V10+Z10+AD10+AH10+AL10+AP10+AT10+AX10</f>
        <v>153713.90000000002</v>
      </c>
      <c r="G10" s="26">
        <v>8913.1</v>
      </c>
      <c r="H10" s="26">
        <v>6592.9</v>
      </c>
      <c r="I10" s="26">
        <f>27441.1-G10</f>
        <v>18528</v>
      </c>
      <c r="J10" s="26">
        <v>13672.9</v>
      </c>
      <c r="K10" s="26">
        <f>G10+I10</f>
        <v>27441.1</v>
      </c>
      <c r="L10" s="26">
        <f>H10+J10</f>
        <v>20265.8</v>
      </c>
      <c r="M10" s="26">
        <f>43594.2-G10-I10</f>
        <v>16153.099999999999</v>
      </c>
      <c r="N10" s="26">
        <v>11919.4</v>
      </c>
      <c r="O10" s="26">
        <f>K10+M10</f>
        <v>43594.2</v>
      </c>
      <c r="P10" s="26">
        <f>L10+N10</f>
        <v>32185.199999999997</v>
      </c>
      <c r="Q10" s="26">
        <f>58557.2-M10-G10-I10</f>
        <v>14963</v>
      </c>
      <c r="R10" s="26">
        <v>11049.2</v>
      </c>
      <c r="S10" s="26">
        <f>O10+Q10</f>
        <v>58557.2</v>
      </c>
      <c r="T10" s="26">
        <f>P10+R10</f>
        <v>43234.399999999994</v>
      </c>
      <c r="U10" s="26">
        <f>83223.5-G10-I10-M10-Q10</f>
        <v>24666.299999999996</v>
      </c>
      <c r="V10" s="26">
        <v>19609.900000000001</v>
      </c>
      <c r="W10" s="26">
        <f>S10+U10</f>
        <v>83223.5</v>
      </c>
      <c r="X10" s="26">
        <f>T10+V10</f>
        <v>62844.299999999996</v>
      </c>
      <c r="Y10" s="26">
        <f>100134.2-G10-I10-M10-Q10-U10</f>
        <v>16910.699999999997</v>
      </c>
      <c r="Z10" s="26">
        <v>12575.9</v>
      </c>
      <c r="AA10" s="26">
        <f>W10+Y10</f>
        <v>100134.2</v>
      </c>
      <c r="AB10" s="26">
        <f>X10+Z10</f>
        <v>75420.2</v>
      </c>
      <c r="AC10" s="26">
        <v>17589.2</v>
      </c>
      <c r="AD10" s="26">
        <v>12987.6</v>
      </c>
      <c r="AE10" s="26">
        <f>AA10+AC10</f>
        <v>117723.4</v>
      </c>
      <c r="AF10" s="26">
        <f>AB10+AD10</f>
        <v>88407.8</v>
      </c>
      <c r="AG10" s="26">
        <f>133734.9-AC10-Y10-U10-Q10-M10-I10-G10</f>
        <v>16011.500000000013</v>
      </c>
      <c r="AH10" s="26">
        <f>100180.4-AD10-Z10-V10-R10-N10-J10-H10</f>
        <v>11772.599999999986</v>
      </c>
      <c r="AI10" s="26">
        <f>AE10+AG10</f>
        <v>133734.9</v>
      </c>
      <c r="AJ10" s="26">
        <f>AF10+AH10</f>
        <v>100180.4</v>
      </c>
      <c r="AK10" s="26">
        <f>149871-G10-I10-M10-Q10-U10-Y10-AC10-AG10</f>
        <v>16136.099999999989</v>
      </c>
      <c r="AL10" s="23">
        <f>112067.7-H10-J10-N10-R10-V10-Z10-AD10-AH10</f>
        <v>11887.30000000003</v>
      </c>
      <c r="AM10" s="26">
        <f>AI10+AK10</f>
        <v>149870.99999999997</v>
      </c>
      <c r="AN10" s="26">
        <f>AJ10+AL10</f>
        <v>112067.70000000003</v>
      </c>
      <c r="AO10" s="26">
        <f>167273.3-G10-I10-M10-Q10-U10-Y10-AC10-AG10-AK10</f>
        <v>17402.299999999988</v>
      </c>
      <c r="AP10" s="26">
        <f>124835.6-H10-J10-N10-R10-V10-Z10-AD10-AH10-AL10</f>
        <v>12767.900000000011</v>
      </c>
      <c r="AQ10" s="26">
        <f>AM10+AO10</f>
        <v>167273.29999999996</v>
      </c>
      <c r="AR10" s="26">
        <f>AN10+AP10</f>
        <v>124835.60000000003</v>
      </c>
      <c r="AS10" s="26">
        <v>16487.8</v>
      </c>
      <c r="AT10" s="26">
        <v>12154</v>
      </c>
      <c r="AU10" s="26">
        <f>AQ10+AS10</f>
        <v>183761.09999999995</v>
      </c>
      <c r="AV10" s="26">
        <f>AR10+AT10</f>
        <v>136989.60000000003</v>
      </c>
      <c r="AW10" s="26">
        <f>6125+AX10</f>
        <v>22849.3</v>
      </c>
      <c r="AX10" s="26">
        <v>16724.3</v>
      </c>
      <c r="AY10" s="26">
        <v>230884.9</v>
      </c>
      <c r="AZ10" s="26">
        <v>171633</v>
      </c>
      <c r="BA10" s="55">
        <f t="shared" ref="BA10:BB25" si="109">IF(E10=0,1,AY10/E10-1)</f>
        <v>0.11748924545908657</v>
      </c>
      <c r="BB10" s="55">
        <f t="shared" si="109"/>
        <v>0.11657436315128278</v>
      </c>
      <c r="BC10" s="26">
        <v>12363.4</v>
      </c>
      <c r="BD10" s="26">
        <v>9132.1</v>
      </c>
      <c r="BE10" s="26">
        <v>14956.2</v>
      </c>
      <c r="BF10" s="26">
        <v>11109.6</v>
      </c>
      <c r="BG10" s="26">
        <f>BC10+BE10</f>
        <v>27319.599999999999</v>
      </c>
      <c r="BH10" s="26">
        <f>BD10+BF10</f>
        <v>20241.7</v>
      </c>
      <c r="BI10" s="55">
        <f t="shared" si="22"/>
        <v>-4.4276650717354205E-3</v>
      </c>
      <c r="BJ10" s="55">
        <f t="shared" si="22"/>
        <v>-1.1891955906008222E-3</v>
      </c>
      <c r="BK10" s="26">
        <f>170+151.9+603.4+3536.2+25+BL10</f>
        <v>20462.7</v>
      </c>
      <c r="BL10" s="26">
        <v>15976.2</v>
      </c>
      <c r="BM10" s="26">
        <f>BG10+BK10</f>
        <v>47782.3</v>
      </c>
      <c r="BN10" s="26">
        <f>BH10+BL10</f>
        <v>36217.9</v>
      </c>
      <c r="BO10" s="55">
        <f t="shared" si="24"/>
        <v>9.6070119419555899E-2</v>
      </c>
      <c r="BP10" s="55">
        <f t="shared" si="24"/>
        <v>0.1252967202316595</v>
      </c>
      <c r="BQ10" s="26"/>
      <c r="BR10" s="26"/>
      <c r="BS10" s="26">
        <f>BM10+BQ10</f>
        <v>47782.3</v>
      </c>
      <c r="BT10" s="26">
        <f>BN10+BR10</f>
        <v>36217.9</v>
      </c>
      <c r="BU10" s="55">
        <f t="shared" si="25"/>
        <v>-0.18400640741019025</v>
      </c>
      <c r="BV10" s="55">
        <f t="shared" si="25"/>
        <v>-0.16228975075402907</v>
      </c>
      <c r="BW10" s="26"/>
      <c r="BX10" s="26"/>
      <c r="BY10" s="26">
        <f>BS10+BW10</f>
        <v>47782.3</v>
      </c>
      <c r="BZ10" s="26">
        <f>BT10+BX10</f>
        <v>36217.9</v>
      </c>
      <c r="CA10" s="55">
        <f t="shared" si="27"/>
        <v>-0.42585567778331834</v>
      </c>
      <c r="CB10" s="55">
        <f t="shared" si="27"/>
        <v>-0.42368838542238507</v>
      </c>
      <c r="CC10" s="26"/>
      <c r="CD10" s="26"/>
      <c r="CE10" s="26">
        <f>BY10+CC10</f>
        <v>47782.3</v>
      </c>
      <c r="CF10" s="26">
        <f>BZ10+CD10</f>
        <v>36217.9</v>
      </c>
      <c r="CG10" s="55">
        <f t="shared" si="29"/>
        <v>-0.52281737907727832</v>
      </c>
      <c r="CH10" s="55">
        <f t="shared" si="29"/>
        <v>-0.51978515039737361</v>
      </c>
      <c r="CI10" s="26"/>
      <c r="CJ10" s="26"/>
      <c r="CK10" s="26">
        <f>CE10+CI10</f>
        <v>47782.3</v>
      </c>
      <c r="CL10" s="26">
        <f>CF10+CJ10</f>
        <v>36217.9</v>
      </c>
      <c r="CM10" s="55">
        <f t="shared" si="31"/>
        <v>-0.59411382953601399</v>
      </c>
      <c r="CN10" s="55">
        <f t="shared" si="31"/>
        <v>-0.59033139609853436</v>
      </c>
      <c r="CO10" s="26"/>
      <c r="CP10" s="26"/>
      <c r="CQ10" s="26">
        <f>CK10+CO10</f>
        <v>47782.3</v>
      </c>
      <c r="CR10" s="26">
        <f>CL10+CP10</f>
        <v>36217.9</v>
      </c>
      <c r="CS10" s="55">
        <f t="shared" si="33"/>
        <v>-0.64270882170622623</v>
      </c>
      <c r="CT10" s="55">
        <f>IF(AJ10=0,1,CR10/AJ10-1)</f>
        <v>-0.63847319435737926</v>
      </c>
      <c r="CU10" s="26"/>
      <c r="CV10" s="26"/>
      <c r="CW10" s="26">
        <f>CQ10+CU10</f>
        <v>47782.3</v>
      </c>
      <c r="CX10" s="26">
        <f>CR10+CV10</f>
        <v>36217.9</v>
      </c>
      <c r="CY10" s="55">
        <f t="shared" si="35"/>
        <v>-0.68117714567861687</v>
      </c>
      <c r="CZ10" s="55">
        <f t="shared" si="35"/>
        <v>-0.67682124287372725</v>
      </c>
      <c r="DA10" s="26"/>
      <c r="DB10" s="26"/>
      <c r="DC10" s="26">
        <f>CW10+DA10</f>
        <v>47782.3</v>
      </c>
      <c r="DD10" s="26">
        <f>CX10+DB10</f>
        <v>36217.9</v>
      </c>
      <c r="DE10" s="55">
        <f t="shared" si="37"/>
        <v>-0.71434592370689165</v>
      </c>
      <c r="DF10" s="55">
        <f t="shared" si="37"/>
        <v>-0.70987522789973379</v>
      </c>
      <c r="DG10" s="26"/>
      <c r="DH10" s="26"/>
      <c r="DI10" s="26">
        <f>DC10+DG10</f>
        <v>47782.3</v>
      </c>
      <c r="DJ10" s="26">
        <f>DD10+DH10</f>
        <v>36217.9</v>
      </c>
      <c r="DK10" s="55">
        <f>IF(AU10=0,1,DI10/AU10-1)</f>
        <v>-0.73997597968231577</v>
      </c>
      <c r="DL10" s="55">
        <f>IF(AV10=0,1,DJ10/AV10-1)</f>
        <v>-0.73561569637403135</v>
      </c>
      <c r="DM10" s="26"/>
      <c r="DN10" s="26"/>
      <c r="DO10" s="26"/>
      <c r="DP10" s="26"/>
      <c r="DQ10" s="26">
        <v>215285</v>
      </c>
      <c r="DR10" s="26">
        <v>160133</v>
      </c>
      <c r="DS10" s="55">
        <f>IF($AY$10=0,1,DQ10/$AY$10-1)</f>
        <v>-6.7565700485393343E-2</v>
      </c>
      <c r="DT10" s="55">
        <f>IF($AZ$10=0,1,DR10/$AZ$10-1)</f>
        <v>-6.7003431740982222E-2</v>
      </c>
      <c r="DU10" s="55">
        <f>IF($E$10=0,1,DQ10/$E$10-1)</f>
        <v>4.1985301804749797E-2</v>
      </c>
      <c r="DV10" s="55">
        <f>IF($E$10=0,1,DR10/$E$10-1)</f>
        <v>-0.22495189012750549</v>
      </c>
      <c r="DW10" s="25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</row>
    <row r="11" spans="1:268" s="62" customFormat="1" ht="18" customHeight="1">
      <c r="A11" s="114" t="s">
        <v>130</v>
      </c>
      <c r="B11" s="113" t="s">
        <v>128</v>
      </c>
      <c r="C11" s="26">
        <f>'[1]прогноз '!B19</f>
        <v>0</v>
      </c>
      <c r="D11" s="26">
        <f>'[1]прогноз '!C19</f>
        <v>0</v>
      </c>
      <c r="E11" s="26">
        <f t="shared" ref="E11:F35" si="110">G11+I11+M11+Q11+U11+Y11+AC11+AG11+AK11+AO11+AS11+AW11</f>
        <v>0</v>
      </c>
      <c r="F11" s="26">
        <f>H11+J11+N11+R11+V11+Z11+AD11+AH11+AL11+AP11+AT11+AX11</f>
        <v>0</v>
      </c>
      <c r="G11" s="26">
        <v>0</v>
      </c>
      <c r="H11" s="26">
        <v>0</v>
      </c>
      <c r="I11" s="26">
        <v>0</v>
      </c>
      <c r="J11" s="26">
        <v>0</v>
      </c>
      <c r="K11" s="26">
        <f t="shared" ref="K11:L38" si="111">G11+I11</f>
        <v>0</v>
      </c>
      <c r="L11" s="26">
        <f t="shared" si="111"/>
        <v>0</v>
      </c>
      <c r="M11" s="26">
        <v>0</v>
      </c>
      <c r="N11" s="26">
        <v>0</v>
      </c>
      <c r="O11" s="26">
        <f t="shared" ref="O11:P41" si="112">K11+M11</f>
        <v>0</v>
      </c>
      <c r="P11" s="26">
        <f t="shared" si="112"/>
        <v>0</v>
      </c>
      <c r="Q11" s="26">
        <v>0</v>
      </c>
      <c r="R11" s="26">
        <v>0</v>
      </c>
      <c r="S11" s="26">
        <f t="shared" ref="S11:T41" si="113">O11+Q11</f>
        <v>0</v>
      </c>
      <c r="T11" s="26">
        <f t="shared" si="113"/>
        <v>0</v>
      </c>
      <c r="U11" s="26">
        <v>0</v>
      </c>
      <c r="V11" s="26">
        <v>0</v>
      </c>
      <c r="W11" s="26">
        <f t="shared" ref="W11:X41" si="114">S11+U11</f>
        <v>0</v>
      </c>
      <c r="X11" s="26">
        <f t="shared" si="114"/>
        <v>0</v>
      </c>
      <c r="Y11" s="26"/>
      <c r="Z11" s="26">
        <v>0</v>
      </c>
      <c r="AA11" s="26">
        <f t="shared" ref="AA11:AB41" si="115">W11+Y11</f>
        <v>0</v>
      </c>
      <c r="AB11" s="26">
        <f t="shared" si="115"/>
        <v>0</v>
      </c>
      <c r="AC11" s="26">
        <v>0</v>
      </c>
      <c r="AD11" s="26">
        <v>0</v>
      </c>
      <c r="AE11" s="26">
        <f t="shared" ref="AE11:AF41" si="116">AA11+AC11</f>
        <v>0</v>
      </c>
      <c r="AF11" s="26">
        <f t="shared" si="116"/>
        <v>0</v>
      </c>
      <c r="AG11" s="26">
        <v>0</v>
      </c>
      <c r="AH11" s="26">
        <v>0</v>
      </c>
      <c r="AI11" s="26">
        <f t="shared" ref="AI11:AJ25" si="117">AE11+AG11</f>
        <v>0</v>
      </c>
      <c r="AJ11" s="26">
        <f t="shared" si="117"/>
        <v>0</v>
      </c>
      <c r="AK11" s="26">
        <v>0</v>
      </c>
      <c r="AL11" s="23">
        <v>0</v>
      </c>
      <c r="AM11" s="26">
        <f t="shared" ref="AM11:AN25" si="118">AI11+AK11</f>
        <v>0</v>
      </c>
      <c r="AN11" s="26">
        <f t="shared" si="118"/>
        <v>0</v>
      </c>
      <c r="AO11" s="26">
        <v>0</v>
      </c>
      <c r="AP11" s="26">
        <v>0</v>
      </c>
      <c r="AQ11" s="26">
        <f t="shared" ref="AQ11:AR25" si="119">AM11+AO11</f>
        <v>0</v>
      </c>
      <c r="AR11" s="26">
        <f t="shared" si="119"/>
        <v>0</v>
      </c>
      <c r="AS11" s="26">
        <v>0</v>
      </c>
      <c r="AT11" s="26">
        <v>0</v>
      </c>
      <c r="AU11" s="26">
        <f t="shared" ref="AU11:AV25" si="120">AQ11+AS11</f>
        <v>0</v>
      </c>
      <c r="AV11" s="26">
        <f t="shared" si="120"/>
        <v>0</v>
      </c>
      <c r="AW11" s="26">
        <v>0</v>
      </c>
      <c r="AX11" s="26">
        <v>0</v>
      </c>
      <c r="AY11" s="26">
        <f>AY10*$B$11/(43+$B$11)</f>
        <v>5247.3840909090904</v>
      </c>
      <c r="AZ11" s="26">
        <f>AY11</f>
        <v>5247.3840909090904</v>
      </c>
      <c r="BA11" s="55">
        <f t="shared" si="109"/>
        <v>1</v>
      </c>
      <c r="BB11" s="55">
        <f t="shared" si="109"/>
        <v>1</v>
      </c>
      <c r="BC11" s="26">
        <f t="shared" ref="BC11" si="121">BC10*$B$11/(43+$B$11)</f>
        <v>280.98636363636365</v>
      </c>
      <c r="BD11" s="26">
        <f t="shared" ref="BD11" si="122">BC11</f>
        <v>280.98636363636365</v>
      </c>
      <c r="BE11" s="26">
        <f t="shared" ref="BE11" si="123">BE10*$B$11/(43+$B$11)</f>
        <v>339.91363636363639</v>
      </c>
      <c r="BF11" s="26">
        <f t="shared" ref="BF11" si="124">BE11</f>
        <v>339.91363636363639</v>
      </c>
      <c r="BG11" s="26">
        <f t="shared" ref="BG11:BH25" si="125">BC11+BE11</f>
        <v>620.90000000000009</v>
      </c>
      <c r="BH11" s="26">
        <f t="shared" si="125"/>
        <v>620.90000000000009</v>
      </c>
      <c r="BI11" s="55">
        <f t="shared" si="22"/>
        <v>1</v>
      </c>
      <c r="BJ11" s="55">
        <f t="shared" si="22"/>
        <v>1</v>
      </c>
      <c r="BK11" s="26">
        <f>BK10*$B$11/(43+$B$11)</f>
        <v>465.06136363636364</v>
      </c>
      <c r="BL11" s="26">
        <f>BK11</f>
        <v>465.06136363636364</v>
      </c>
      <c r="BM11" s="26">
        <f t="shared" ref="BM11:BN25" si="126">BG11+BK11</f>
        <v>1085.9613636363638</v>
      </c>
      <c r="BN11" s="26">
        <f t="shared" si="126"/>
        <v>1085.9613636363638</v>
      </c>
      <c r="BO11" s="55">
        <f t="shared" si="24"/>
        <v>1</v>
      </c>
      <c r="BP11" s="55">
        <f t="shared" si="24"/>
        <v>1</v>
      </c>
      <c r="BQ11" s="26">
        <f>BQ10*$B$11/(43+$B$11)</f>
        <v>0</v>
      </c>
      <c r="BR11" s="26">
        <f>BQ11</f>
        <v>0</v>
      </c>
      <c r="BS11" s="26">
        <f t="shared" ref="BS11:BT25" si="127">BM11+BQ11</f>
        <v>1085.9613636363638</v>
      </c>
      <c r="BT11" s="26">
        <f t="shared" si="127"/>
        <v>1085.9613636363638</v>
      </c>
      <c r="BU11" s="55">
        <f t="shared" si="25"/>
        <v>1</v>
      </c>
      <c r="BV11" s="55">
        <f t="shared" si="25"/>
        <v>1</v>
      </c>
      <c r="BW11" s="26">
        <f>BW10*$B$11/(43+$B$11)</f>
        <v>0</v>
      </c>
      <c r="BX11" s="26">
        <f>BW11</f>
        <v>0</v>
      </c>
      <c r="BY11" s="26">
        <f t="shared" ref="BY11:BZ25" si="128">BS11+BW11</f>
        <v>1085.9613636363638</v>
      </c>
      <c r="BZ11" s="26">
        <f t="shared" si="128"/>
        <v>1085.9613636363638</v>
      </c>
      <c r="CA11" s="55">
        <f t="shared" si="27"/>
        <v>1</v>
      </c>
      <c r="CB11" s="55">
        <f t="shared" si="27"/>
        <v>1</v>
      </c>
      <c r="CC11" s="26">
        <f>CC10*$B$11/(43+$B$11)</f>
        <v>0</v>
      </c>
      <c r="CD11" s="26">
        <f>CC11</f>
        <v>0</v>
      </c>
      <c r="CE11" s="26">
        <f t="shared" ref="CE11:CF25" si="129">BY11+CC11</f>
        <v>1085.9613636363638</v>
      </c>
      <c r="CF11" s="26">
        <f t="shared" si="129"/>
        <v>1085.9613636363638</v>
      </c>
      <c r="CG11" s="55">
        <f t="shared" si="29"/>
        <v>1</v>
      </c>
      <c r="CH11" s="55">
        <f t="shared" si="29"/>
        <v>1</v>
      </c>
      <c r="CI11" s="26">
        <f>CI10*$B$11/(43+$B$11)</f>
        <v>0</v>
      </c>
      <c r="CJ11" s="26">
        <f>CI11</f>
        <v>0</v>
      </c>
      <c r="CK11" s="26">
        <f t="shared" ref="CK11:CL25" si="130">CE11+CI11</f>
        <v>1085.9613636363638</v>
      </c>
      <c r="CL11" s="26">
        <f t="shared" si="130"/>
        <v>1085.9613636363638</v>
      </c>
      <c r="CM11" s="55">
        <f t="shared" si="31"/>
        <v>1</v>
      </c>
      <c r="CN11" s="55">
        <f t="shared" si="31"/>
        <v>1</v>
      </c>
      <c r="CO11" s="26">
        <f>CO10*$B$11/(43+$B$11)</f>
        <v>0</v>
      </c>
      <c r="CP11" s="26">
        <f>CO11</f>
        <v>0</v>
      </c>
      <c r="CQ11" s="26">
        <f t="shared" ref="CQ11:CR25" si="131">CK11+CO11</f>
        <v>1085.9613636363638</v>
      </c>
      <c r="CR11" s="26">
        <f t="shared" si="131"/>
        <v>1085.9613636363638</v>
      </c>
      <c r="CS11" s="55">
        <f t="shared" si="33"/>
        <v>1</v>
      </c>
      <c r="CT11" s="55">
        <f t="shared" si="33"/>
        <v>1</v>
      </c>
      <c r="CU11" s="26">
        <f>CU10*$B$11/(43+$B$11)</f>
        <v>0</v>
      </c>
      <c r="CV11" s="26">
        <f>CU11</f>
        <v>0</v>
      </c>
      <c r="CW11" s="26">
        <f t="shared" ref="CW11:CX25" si="132">CQ11+CU11</f>
        <v>1085.9613636363638</v>
      </c>
      <c r="CX11" s="26">
        <f t="shared" si="132"/>
        <v>1085.9613636363638</v>
      </c>
      <c r="CY11" s="55">
        <f t="shared" si="35"/>
        <v>1</v>
      </c>
      <c r="CZ11" s="55">
        <f t="shared" si="35"/>
        <v>1</v>
      </c>
      <c r="DA11" s="26">
        <f>DA10*$B$11/(43+$B$11)</f>
        <v>0</v>
      </c>
      <c r="DB11" s="26">
        <f>DA11</f>
        <v>0</v>
      </c>
      <c r="DC11" s="26">
        <f t="shared" ref="DC11:DD25" si="133">CW11+DA11</f>
        <v>1085.9613636363638</v>
      </c>
      <c r="DD11" s="26">
        <f t="shared" si="133"/>
        <v>1085.9613636363638</v>
      </c>
      <c r="DE11" s="55">
        <f t="shared" si="37"/>
        <v>1</v>
      </c>
      <c r="DF11" s="55">
        <f t="shared" si="37"/>
        <v>1</v>
      </c>
      <c r="DG11" s="26">
        <f>DG10*$B$11/(43+$B$11)</f>
        <v>0</v>
      </c>
      <c r="DH11" s="26">
        <f>DG11</f>
        <v>0</v>
      </c>
      <c r="DI11" s="26">
        <f t="shared" ref="DI11:DJ25" si="134">DC11+DG11</f>
        <v>1085.9613636363638</v>
      </c>
      <c r="DJ11" s="26">
        <f t="shared" si="134"/>
        <v>1085.9613636363638</v>
      </c>
      <c r="DK11" s="55">
        <f t="shared" si="39"/>
        <v>1</v>
      </c>
      <c r="DL11" s="55">
        <f t="shared" si="39"/>
        <v>1</v>
      </c>
      <c r="DM11" s="26">
        <f>DM10*$B$11/(43+$B$11)</f>
        <v>0</v>
      </c>
      <c r="DN11" s="26">
        <f>DM11</f>
        <v>0</v>
      </c>
      <c r="DO11" s="26">
        <f>DO10*$B$11/(43+$B$11)</f>
        <v>0</v>
      </c>
      <c r="DP11" s="26">
        <f>DO11</f>
        <v>0</v>
      </c>
      <c r="DQ11" s="26">
        <f>DQ10*$B$11/(43+$B$11)</f>
        <v>4892.840909090909</v>
      </c>
      <c r="DR11" s="26">
        <f>DQ11</f>
        <v>4892.840909090909</v>
      </c>
      <c r="DS11" s="55">
        <f>IF($AY$11=0,1,DQ11/$AY$11-1)</f>
        <v>-6.7565700485393343E-2</v>
      </c>
      <c r="DT11" s="55">
        <f>IF($AZ$11=0,1,DR11/$AZ$11-1)</f>
        <v>-6.7565700485393343E-2</v>
      </c>
      <c r="DU11" s="55">
        <f>IF($E$11=0,1,DQ11/$E$11-1)</f>
        <v>1</v>
      </c>
      <c r="DV11" s="55">
        <f>IF($E$11=0,1,DR11/$E$11-1)</f>
        <v>1</v>
      </c>
      <c r="DW11" s="25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333" t="s">
        <v>32</v>
      </c>
      <c r="B12" s="334"/>
      <c r="C12" s="26">
        <f>'[1]прогноз '!B20</f>
        <v>32353.800000000003</v>
      </c>
      <c r="D12" s="26">
        <f>'[1]прогноз '!C20</f>
        <v>32353.599999999999</v>
      </c>
      <c r="E12" s="26">
        <f t="shared" si="110"/>
        <v>31023</v>
      </c>
      <c r="F12" s="26">
        <f>H12+J12+N12+R12+V12+Z12+AD12+AH12+AL12+AP12+AT12+AX12</f>
        <v>31023.199999999997</v>
      </c>
      <c r="G12" s="26">
        <v>5526.8</v>
      </c>
      <c r="H12" s="26">
        <v>5526.8</v>
      </c>
      <c r="I12" s="26">
        <f>7429.2-G12</f>
        <v>1902.3999999999996</v>
      </c>
      <c r="J12" s="26">
        <v>1902</v>
      </c>
      <c r="K12" s="26">
        <f t="shared" si="111"/>
        <v>7429.2</v>
      </c>
      <c r="L12" s="26">
        <f t="shared" si="111"/>
        <v>7428.8</v>
      </c>
      <c r="M12" s="26">
        <f>7817.1-G12-I12</f>
        <v>387.90000000000055</v>
      </c>
      <c r="N12" s="26">
        <v>387.9</v>
      </c>
      <c r="O12" s="26">
        <f t="shared" si="112"/>
        <v>7817.1</v>
      </c>
      <c r="P12" s="26">
        <f t="shared" si="112"/>
        <v>7816.7</v>
      </c>
      <c r="Q12" s="26">
        <f>13400.8-G12-I12-M12</f>
        <v>5583.6999999999989</v>
      </c>
      <c r="R12" s="26">
        <v>5583.6</v>
      </c>
      <c r="S12" s="26">
        <f t="shared" si="113"/>
        <v>13400.8</v>
      </c>
      <c r="T12" s="26">
        <f t="shared" si="113"/>
        <v>13400.3</v>
      </c>
      <c r="U12" s="26">
        <f>14787.1-G12-I12-M12-Q12</f>
        <v>1386.3000000000002</v>
      </c>
      <c r="V12" s="26">
        <v>1386.3</v>
      </c>
      <c r="W12" s="26">
        <f t="shared" si="114"/>
        <v>14787.099999999999</v>
      </c>
      <c r="X12" s="26">
        <f t="shared" si="114"/>
        <v>14786.599999999999</v>
      </c>
      <c r="Y12" s="26">
        <f>15589.4-G12-I12-M12-Q12-U12</f>
        <v>802.29999999999927</v>
      </c>
      <c r="Z12" s="26">
        <v>802.3</v>
      </c>
      <c r="AA12" s="26">
        <f t="shared" si="115"/>
        <v>15589.399999999998</v>
      </c>
      <c r="AB12" s="26">
        <f t="shared" si="115"/>
        <v>15588.899999999998</v>
      </c>
      <c r="AC12" s="26">
        <v>5902</v>
      </c>
      <c r="AD12" s="26">
        <v>5901.8</v>
      </c>
      <c r="AE12" s="26">
        <f t="shared" si="116"/>
        <v>21491.399999999998</v>
      </c>
      <c r="AF12" s="26">
        <f t="shared" si="116"/>
        <v>21490.699999999997</v>
      </c>
      <c r="AG12" s="26">
        <f>22393.8-G12-I12-M12-Q12-U12-Y12-AC12</f>
        <v>902.40000000000236</v>
      </c>
      <c r="AH12" s="26">
        <f>22393.8-H12-J12-N12-R12-V12-Z12-AD12</f>
        <v>903.09999999999945</v>
      </c>
      <c r="AI12" s="26">
        <f t="shared" si="117"/>
        <v>22393.8</v>
      </c>
      <c r="AJ12" s="26">
        <f t="shared" si="117"/>
        <v>22393.799999999996</v>
      </c>
      <c r="AK12" s="26">
        <f>23147.3-G12-I12-M12-Q12-U12-Y12-AC12-AG12</f>
        <v>753.49999999999909</v>
      </c>
      <c r="AL12" s="23">
        <f>23147.3-H12-J12-N12-R12-V12-Z12-AD12-AH12</f>
        <v>753.50000000000091</v>
      </c>
      <c r="AM12" s="26">
        <f t="shared" si="118"/>
        <v>23147.3</v>
      </c>
      <c r="AN12" s="26">
        <f t="shared" si="118"/>
        <v>23147.299999999996</v>
      </c>
      <c r="AO12" s="26">
        <f>29028-G12-I12-M12-Q12-U12-Y12-AC12-AG12-AK12</f>
        <v>5880.7000000000007</v>
      </c>
      <c r="AP12" s="26">
        <f>29028-H12-J12-N12-R12-V12-Z12-AD12-AH12-AL12</f>
        <v>5880.7</v>
      </c>
      <c r="AQ12" s="26">
        <f t="shared" si="119"/>
        <v>29028</v>
      </c>
      <c r="AR12" s="26">
        <f t="shared" si="119"/>
        <v>29027.999999999996</v>
      </c>
      <c r="AS12" s="26">
        <v>1257</v>
      </c>
      <c r="AT12" s="26">
        <v>1256.9000000000001</v>
      </c>
      <c r="AU12" s="26">
        <f t="shared" si="120"/>
        <v>30285</v>
      </c>
      <c r="AV12" s="26">
        <f t="shared" si="120"/>
        <v>30284.899999999998</v>
      </c>
      <c r="AW12" s="26">
        <v>738</v>
      </c>
      <c r="AX12" s="26">
        <v>738.3</v>
      </c>
      <c r="AY12" s="26">
        <v>32768</v>
      </c>
      <c r="AZ12" s="26">
        <v>32768</v>
      </c>
      <c r="BA12" s="55">
        <f t="shared" si="109"/>
        <v>5.6248589755987455E-2</v>
      </c>
      <c r="BB12" s="55">
        <f t="shared" si="109"/>
        <v>5.6241780345032133E-2</v>
      </c>
      <c r="BC12" s="26">
        <v>5424</v>
      </c>
      <c r="BD12" s="26">
        <v>5423.8</v>
      </c>
      <c r="BE12" s="26">
        <v>1639.5</v>
      </c>
      <c r="BF12" s="26">
        <v>1639.5</v>
      </c>
      <c r="BG12" s="26">
        <f t="shared" si="125"/>
        <v>7063.5</v>
      </c>
      <c r="BH12" s="26">
        <f t="shared" si="125"/>
        <v>7063.3</v>
      </c>
      <c r="BI12" s="55">
        <f t="shared" si="22"/>
        <v>-4.9224680988531722E-2</v>
      </c>
      <c r="BJ12" s="55">
        <f t="shared" si="22"/>
        <v>-4.9200409218177921E-2</v>
      </c>
      <c r="BK12" s="26">
        <v>550</v>
      </c>
      <c r="BL12" s="26">
        <v>274.2</v>
      </c>
      <c r="BM12" s="26">
        <f t="shared" si="126"/>
        <v>7613.5</v>
      </c>
      <c r="BN12" s="26">
        <f t="shared" si="126"/>
        <v>7337.5</v>
      </c>
      <c r="BO12" s="55">
        <f t="shared" si="24"/>
        <v>-2.6045464430543341E-2</v>
      </c>
      <c r="BP12" s="55">
        <f t="shared" si="24"/>
        <v>-6.1304642624125272E-2</v>
      </c>
      <c r="BQ12" s="26"/>
      <c r="BR12" s="26"/>
      <c r="BS12" s="26">
        <f t="shared" si="127"/>
        <v>7613.5</v>
      </c>
      <c r="BT12" s="26">
        <f t="shared" si="127"/>
        <v>7337.5</v>
      </c>
      <c r="BU12" s="55">
        <f t="shared" si="25"/>
        <v>-0.43186227687899226</v>
      </c>
      <c r="BV12" s="55">
        <f t="shared" si="25"/>
        <v>-0.45243763199331355</v>
      </c>
      <c r="BW12" s="26"/>
      <c r="BX12" s="26"/>
      <c r="BY12" s="26">
        <f t="shared" si="128"/>
        <v>7613.5</v>
      </c>
      <c r="BZ12" s="26">
        <f t="shared" si="128"/>
        <v>7337.5</v>
      </c>
      <c r="CA12" s="55">
        <f t="shared" si="27"/>
        <v>-0.48512554862008095</v>
      </c>
      <c r="CB12" s="55">
        <f t="shared" si="27"/>
        <v>-0.50377368698686642</v>
      </c>
      <c r="CC12" s="26"/>
      <c r="CD12" s="26"/>
      <c r="CE12" s="26">
        <f t="shared" si="129"/>
        <v>7613.5</v>
      </c>
      <c r="CF12" s="26">
        <f t="shared" si="129"/>
        <v>7337.5</v>
      </c>
      <c r="CG12" s="55">
        <f t="shared" si="29"/>
        <v>-0.51162328248681788</v>
      </c>
      <c r="CH12" s="55">
        <f t="shared" si="29"/>
        <v>-0.52931252365465165</v>
      </c>
      <c r="CI12" s="26"/>
      <c r="CJ12" s="26"/>
      <c r="CK12" s="26">
        <f t="shared" si="130"/>
        <v>7613.5</v>
      </c>
      <c r="CL12" s="26">
        <f t="shared" si="130"/>
        <v>7337.5</v>
      </c>
      <c r="CM12" s="55">
        <f t="shared" si="31"/>
        <v>-0.64574201773732742</v>
      </c>
      <c r="CN12" s="55">
        <f t="shared" si="31"/>
        <v>-0.65857324330989675</v>
      </c>
      <c r="CO12" s="26"/>
      <c r="CP12" s="26"/>
      <c r="CQ12" s="26">
        <f t="shared" si="131"/>
        <v>7613.5</v>
      </c>
      <c r="CR12" s="26">
        <f t="shared" si="131"/>
        <v>7337.5</v>
      </c>
      <c r="CS12" s="55">
        <f t="shared" si="33"/>
        <v>-0.66001750484509103</v>
      </c>
      <c r="CT12" s="55">
        <f t="shared" si="33"/>
        <v>-0.67234234475613786</v>
      </c>
      <c r="CU12" s="26"/>
      <c r="CV12" s="26"/>
      <c r="CW12" s="26">
        <f t="shared" si="132"/>
        <v>7613.5</v>
      </c>
      <c r="CX12" s="26">
        <f t="shared" si="132"/>
        <v>7337.5</v>
      </c>
      <c r="CY12" s="55">
        <f t="shared" si="35"/>
        <v>-0.67108474854518674</v>
      </c>
      <c r="CZ12" s="55">
        <f t="shared" si="35"/>
        <v>-0.68300838542724196</v>
      </c>
      <c r="DA12" s="26"/>
      <c r="DB12" s="26"/>
      <c r="DC12" s="26">
        <f t="shared" si="133"/>
        <v>7613.5</v>
      </c>
      <c r="DD12" s="26">
        <f t="shared" si="133"/>
        <v>7337.5</v>
      </c>
      <c r="DE12" s="55">
        <f t="shared" si="37"/>
        <v>-0.73771875430618716</v>
      </c>
      <c r="DF12" s="55">
        <f t="shared" si="37"/>
        <v>-0.74722681548849379</v>
      </c>
      <c r="DG12" s="26"/>
      <c r="DH12" s="26"/>
      <c r="DI12" s="26">
        <f t="shared" si="134"/>
        <v>7613.5</v>
      </c>
      <c r="DJ12" s="26">
        <f t="shared" si="134"/>
        <v>7337.5</v>
      </c>
      <c r="DK12" s="55">
        <f t="shared" si="39"/>
        <v>-0.74860491992735678</v>
      </c>
      <c r="DL12" s="55">
        <f t="shared" si="39"/>
        <v>-0.75771754240562128</v>
      </c>
      <c r="DM12" s="26"/>
      <c r="DN12" s="26"/>
      <c r="DO12" s="26"/>
      <c r="DP12" s="26"/>
      <c r="DQ12" s="26">
        <v>32768</v>
      </c>
      <c r="DR12" s="26">
        <v>32768</v>
      </c>
      <c r="DS12" s="55">
        <f>IF($AY$12=0,1,DQ12/$AY$12-1)</f>
        <v>0</v>
      </c>
      <c r="DT12" s="55">
        <f>IF($AZ$12=0,1,DR12/$AZ$12-1)</f>
        <v>0</v>
      </c>
      <c r="DU12" s="55">
        <f>IF($E$12=0,1,DQ12/$E$12-1)</f>
        <v>5.6248589755987455E-2</v>
      </c>
      <c r="DV12" s="55">
        <f>IF($E$12=0,1,DR12/$E$12-1)</f>
        <v>5.6248589755987455E-2</v>
      </c>
      <c r="DW12" s="25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333" t="s">
        <v>80</v>
      </c>
      <c r="B13" s="334"/>
      <c r="C13" s="26">
        <f>'[1]прогноз '!B21</f>
        <v>48.5</v>
      </c>
      <c r="D13" s="26">
        <f>'[1]прогноз '!C21</f>
        <v>24.270000000000003</v>
      </c>
      <c r="E13" s="26">
        <f t="shared" si="110"/>
        <v>45.900000000000006</v>
      </c>
      <c r="F13" s="26">
        <f>H13+J13+N13+R13+V13+Z13+AD13+AH13+AL13+AP13+AT13+AX13</f>
        <v>26.8</v>
      </c>
      <c r="G13" s="26">
        <v>0</v>
      </c>
      <c r="H13" s="26">
        <v>0</v>
      </c>
      <c r="I13" s="26">
        <f>41-G13</f>
        <v>41</v>
      </c>
      <c r="J13" s="26">
        <v>23.9</v>
      </c>
      <c r="K13" s="26">
        <f t="shared" si="111"/>
        <v>41</v>
      </c>
      <c r="L13" s="26">
        <f t="shared" si="111"/>
        <v>23.9</v>
      </c>
      <c r="M13" s="26">
        <f>42.2-I13</f>
        <v>1.2000000000000028</v>
      </c>
      <c r="N13" s="26">
        <v>0.6</v>
      </c>
      <c r="O13" s="26">
        <f t="shared" si="112"/>
        <v>42.2</v>
      </c>
      <c r="P13" s="26">
        <f t="shared" si="112"/>
        <v>24.5</v>
      </c>
      <c r="Q13" s="26">
        <f>45.3-G13-I13-M13</f>
        <v>3.0999999999999943</v>
      </c>
      <c r="R13" s="26">
        <v>2.2000000000000002</v>
      </c>
      <c r="S13" s="26">
        <f t="shared" si="113"/>
        <v>45.3</v>
      </c>
      <c r="T13" s="26">
        <f t="shared" si="113"/>
        <v>26.7</v>
      </c>
      <c r="U13" s="26">
        <f>45.3-G13-I13-M13-Q13</f>
        <v>0</v>
      </c>
      <c r="V13" s="26">
        <v>0</v>
      </c>
      <c r="W13" s="26">
        <f t="shared" si="114"/>
        <v>45.3</v>
      </c>
      <c r="X13" s="26">
        <f t="shared" si="114"/>
        <v>26.7</v>
      </c>
      <c r="Y13" s="26">
        <v>0</v>
      </c>
      <c r="Z13" s="26">
        <v>0</v>
      </c>
      <c r="AA13" s="26">
        <f t="shared" si="115"/>
        <v>45.3</v>
      </c>
      <c r="AB13" s="26">
        <f t="shared" si="115"/>
        <v>26.7</v>
      </c>
      <c r="AC13" s="26">
        <v>0</v>
      </c>
      <c r="AD13" s="26">
        <v>0</v>
      </c>
      <c r="AE13" s="26">
        <f t="shared" si="116"/>
        <v>45.3</v>
      </c>
      <c r="AF13" s="26">
        <f t="shared" si="116"/>
        <v>26.7</v>
      </c>
      <c r="AG13" s="26">
        <f>45.3-G13-I13-M13-Q13-U13-Y13-AC13</f>
        <v>0</v>
      </c>
      <c r="AH13" s="26">
        <f>27-H13-J13-N13-R13-V13-Z13-AD13</f>
        <v>0.30000000000000115</v>
      </c>
      <c r="AI13" s="26">
        <f t="shared" si="117"/>
        <v>45.3</v>
      </c>
      <c r="AJ13" s="26">
        <f t="shared" si="117"/>
        <v>27</v>
      </c>
      <c r="AK13" s="26">
        <f>45.3-G13-I13-M13-Q13-U13-Y13-AC13-AG13</f>
        <v>0</v>
      </c>
      <c r="AL13" s="23">
        <f>26.7-H13-J13-N13-R13-V13-Z13-AD13-AH13</f>
        <v>-0.30000000000000071</v>
      </c>
      <c r="AM13" s="26">
        <f t="shared" si="118"/>
        <v>45.3</v>
      </c>
      <c r="AN13" s="26">
        <f t="shared" si="118"/>
        <v>26.7</v>
      </c>
      <c r="AO13" s="26">
        <f>45.7-G13-I13-M13-Q13-U13-Y13-AC13-AG13-AK13</f>
        <v>0.40000000000000568</v>
      </c>
      <c r="AP13" s="26">
        <f>26.8-H13-J13-N13-R13-V13-Z13-AD13-AH13-AL13</f>
        <v>0.10000000000000142</v>
      </c>
      <c r="AQ13" s="26">
        <f t="shared" si="119"/>
        <v>45.7</v>
      </c>
      <c r="AR13" s="26">
        <f t="shared" si="119"/>
        <v>26.8</v>
      </c>
      <c r="AS13" s="26">
        <v>0</v>
      </c>
      <c r="AT13" s="26">
        <v>0</v>
      </c>
      <c r="AU13" s="26">
        <f t="shared" si="120"/>
        <v>45.7</v>
      </c>
      <c r="AV13" s="26">
        <f t="shared" si="120"/>
        <v>26.8</v>
      </c>
      <c r="AW13" s="26">
        <v>0.2</v>
      </c>
      <c r="AX13" s="26">
        <v>0</v>
      </c>
      <c r="AY13" s="26">
        <v>46.7</v>
      </c>
      <c r="AZ13" s="26">
        <v>23</v>
      </c>
      <c r="BA13" s="55">
        <f t="shared" si="109"/>
        <v>1.7429193899782147E-2</v>
      </c>
      <c r="BB13" s="55">
        <f t="shared" si="109"/>
        <v>-0.14179104477611948</v>
      </c>
      <c r="BC13" s="26">
        <v>20</v>
      </c>
      <c r="BD13" s="26">
        <v>10.3</v>
      </c>
      <c r="BE13" s="26">
        <v>72</v>
      </c>
      <c r="BF13" s="26">
        <v>41.1</v>
      </c>
      <c r="BG13" s="26">
        <f t="shared" si="125"/>
        <v>92</v>
      </c>
      <c r="BH13" s="26">
        <f t="shared" si="125"/>
        <v>51.400000000000006</v>
      </c>
      <c r="BI13" s="55">
        <f t="shared" si="22"/>
        <v>1.2439024390243905</v>
      </c>
      <c r="BJ13" s="55">
        <f t="shared" si="22"/>
        <v>1.1506276150627617</v>
      </c>
      <c r="BK13" s="26">
        <f>1.6+10</f>
        <v>11.6</v>
      </c>
      <c r="BL13" s="26">
        <v>4</v>
      </c>
      <c r="BM13" s="26">
        <f t="shared" si="126"/>
        <v>103.6</v>
      </c>
      <c r="BN13" s="26">
        <f t="shared" si="126"/>
        <v>55.400000000000006</v>
      </c>
      <c r="BO13" s="55">
        <f t="shared" si="24"/>
        <v>1.4549763033175354</v>
      </c>
      <c r="BP13" s="55">
        <f t="shared" si="24"/>
        <v>1.2612244897959184</v>
      </c>
      <c r="BQ13" s="26"/>
      <c r="BR13" s="26"/>
      <c r="BS13" s="26">
        <f t="shared" si="127"/>
        <v>103.6</v>
      </c>
      <c r="BT13" s="26">
        <f t="shared" si="127"/>
        <v>55.400000000000006</v>
      </c>
      <c r="BU13" s="55">
        <f t="shared" si="25"/>
        <v>1.2869757174392937</v>
      </c>
      <c r="BV13" s="55">
        <f t="shared" si="25"/>
        <v>1.0749063670411987</v>
      </c>
      <c r="BW13" s="26"/>
      <c r="BX13" s="26"/>
      <c r="BY13" s="26">
        <f t="shared" si="128"/>
        <v>103.6</v>
      </c>
      <c r="BZ13" s="26">
        <f t="shared" si="128"/>
        <v>55.400000000000006</v>
      </c>
      <c r="CA13" s="55">
        <f t="shared" si="27"/>
        <v>1.2869757174392937</v>
      </c>
      <c r="CB13" s="55">
        <f t="shared" si="27"/>
        <v>1.0749063670411987</v>
      </c>
      <c r="CC13" s="26"/>
      <c r="CD13" s="26"/>
      <c r="CE13" s="26">
        <f t="shared" si="129"/>
        <v>103.6</v>
      </c>
      <c r="CF13" s="26">
        <f t="shared" si="129"/>
        <v>55.400000000000006</v>
      </c>
      <c r="CG13" s="55">
        <f t="shared" si="29"/>
        <v>1.2869757174392937</v>
      </c>
      <c r="CH13" s="55">
        <f t="shared" si="29"/>
        <v>1.0749063670411987</v>
      </c>
      <c r="CI13" s="26"/>
      <c r="CJ13" s="26"/>
      <c r="CK13" s="26">
        <f t="shared" si="130"/>
        <v>103.6</v>
      </c>
      <c r="CL13" s="26">
        <f t="shared" si="130"/>
        <v>55.400000000000006</v>
      </c>
      <c r="CM13" s="55">
        <f t="shared" si="31"/>
        <v>1.2869757174392937</v>
      </c>
      <c r="CN13" s="55">
        <f t="shared" si="31"/>
        <v>1.0749063670411987</v>
      </c>
      <c r="CO13" s="26"/>
      <c r="CP13" s="26"/>
      <c r="CQ13" s="26">
        <f t="shared" si="131"/>
        <v>103.6</v>
      </c>
      <c r="CR13" s="26">
        <f t="shared" si="131"/>
        <v>55.400000000000006</v>
      </c>
      <c r="CS13" s="55">
        <f t="shared" si="33"/>
        <v>1.2869757174392937</v>
      </c>
      <c r="CT13" s="55">
        <f t="shared" si="33"/>
        <v>1.0518518518518523</v>
      </c>
      <c r="CU13" s="26"/>
      <c r="CV13" s="26"/>
      <c r="CW13" s="26">
        <f t="shared" si="132"/>
        <v>103.6</v>
      </c>
      <c r="CX13" s="26">
        <f t="shared" si="132"/>
        <v>55.400000000000006</v>
      </c>
      <c r="CY13" s="55">
        <f t="shared" si="35"/>
        <v>1.2869757174392937</v>
      </c>
      <c r="CZ13" s="55">
        <f t="shared" si="35"/>
        <v>1.0749063670411987</v>
      </c>
      <c r="DA13" s="26"/>
      <c r="DB13" s="26"/>
      <c r="DC13" s="26">
        <f t="shared" si="133"/>
        <v>103.6</v>
      </c>
      <c r="DD13" s="26">
        <f t="shared" si="133"/>
        <v>55.400000000000006</v>
      </c>
      <c r="DE13" s="55">
        <f t="shared" si="37"/>
        <v>1.2669584245076582</v>
      </c>
      <c r="DF13" s="55">
        <f t="shared" si="37"/>
        <v>1.0671641791044779</v>
      </c>
      <c r="DG13" s="26"/>
      <c r="DH13" s="26"/>
      <c r="DI13" s="26">
        <f t="shared" si="134"/>
        <v>103.6</v>
      </c>
      <c r="DJ13" s="26">
        <f t="shared" si="134"/>
        <v>55.400000000000006</v>
      </c>
      <c r="DK13" s="55">
        <f t="shared" si="39"/>
        <v>1.2669584245076582</v>
      </c>
      <c r="DL13" s="55">
        <f t="shared" si="39"/>
        <v>1.0671641791044779</v>
      </c>
      <c r="DM13" s="26"/>
      <c r="DN13" s="26"/>
      <c r="DO13" s="26"/>
      <c r="DP13" s="26"/>
      <c r="DQ13" s="26">
        <v>100</v>
      </c>
      <c r="DR13" s="26">
        <v>55</v>
      </c>
      <c r="DS13" s="55">
        <f>IF($AY$13=0,1,DQ13/$AY$13-1)</f>
        <v>1.1413276231263381</v>
      </c>
      <c r="DT13" s="55">
        <f>IF($AZ$13=0,1,DR13/$AZ$13-1)</f>
        <v>1.3913043478260869</v>
      </c>
      <c r="DU13" s="55">
        <f>IF($E$13=0,1,DQ13/$E$13-1)</f>
        <v>1.1786492374727664</v>
      </c>
      <c r="DV13" s="55">
        <f>IF($E$13=0,1,DR13/$E$13-1)</f>
        <v>0.19825708061002167</v>
      </c>
      <c r="DW13" s="25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333" t="s">
        <v>33</v>
      </c>
      <c r="B14" s="334"/>
      <c r="C14" s="26">
        <f>'[1]прогноз '!B22</f>
        <v>1988</v>
      </c>
      <c r="D14" s="26" t="s">
        <v>34</v>
      </c>
      <c r="E14" s="26">
        <f t="shared" si="110"/>
        <v>1268.9999999999998</v>
      </c>
      <c r="F14" s="26" t="s">
        <v>34</v>
      </c>
      <c r="G14" s="26">
        <v>0.9</v>
      </c>
      <c r="H14" s="26" t="s">
        <v>34</v>
      </c>
      <c r="I14" s="26">
        <f>35.3-G14</f>
        <v>34.4</v>
      </c>
      <c r="J14" s="26" t="s">
        <v>34</v>
      </c>
      <c r="K14" s="26">
        <f t="shared" si="111"/>
        <v>35.299999999999997</v>
      </c>
      <c r="L14" s="26" t="s">
        <v>34</v>
      </c>
      <c r="M14" s="26">
        <f>58.4-G14-I14</f>
        <v>23.1</v>
      </c>
      <c r="N14" s="26" t="s">
        <v>34</v>
      </c>
      <c r="O14" s="26">
        <f t="shared" si="112"/>
        <v>58.4</v>
      </c>
      <c r="P14" s="26" t="s">
        <v>34</v>
      </c>
      <c r="Q14" s="26">
        <f>69.3-G14-I14-M14</f>
        <v>10.899999999999991</v>
      </c>
      <c r="R14" s="26" t="s">
        <v>34</v>
      </c>
      <c r="S14" s="26">
        <f t="shared" si="113"/>
        <v>69.299999999999983</v>
      </c>
      <c r="T14" s="26" t="s">
        <v>34</v>
      </c>
      <c r="U14" s="26">
        <f>6.2-G14-I14-M14-Q14</f>
        <v>-63.099999999999994</v>
      </c>
      <c r="V14" s="26" t="s">
        <v>34</v>
      </c>
      <c r="W14" s="26">
        <f t="shared" si="114"/>
        <v>6.1999999999999886</v>
      </c>
      <c r="X14" s="26" t="s">
        <v>34</v>
      </c>
      <c r="Y14" s="26">
        <f>20.8-G14-I14-M14-Q14-U14</f>
        <v>14.600000000000009</v>
      </c>
      <c r="Z14" s="26" t="s">
        <v>34</v>
      </c>
      <c r="AA14" s="26">
        <f t="shared" si="115"/>
        <v>20.799999999999997</v>
      </c>
      <c r="AB14" s="26" t="s">
        <v>34</v>
      </c>
      <c r="AC14" s="26">
        <v>24.5</v>
      </c>
      <c r="AD14" s="26" t="s">
        <v>34</v>
      </c>
      <c r="AE14" s="26">
        <f t="shared" si="116"/>
        <v>45.3</v>
      </c>
      <c r="AF14" s="26" t="s">
        <v>34</v>
      </c>
      <c r="AG14" s="26">
        <f>177-G14-I14-M14-Q14-U14-Y14-AC14</f>
        <v>131.69999999999999</v>
      </c>
      <c r="AH14" s="26" t="s">
        <v>34</v>
      </c>
      <c r="AI14" s="26">
        <f t="shared" si="117"/>
        <v>177</v>
      </c>
      <c r="AJ14" s="26" t="s">
        <v>34</v>
      </c>
      <c r="AK14" s="26">
        <f>711.5-G14-I14-M14-Q14-U14-Y14-AC14-AG14</f>
        <v>534.5</v>
      </c>
      <c r="AL14" s="23">
        <v>0</v>
      </c>
      <c r="AM14" s="26">
        <f t="shared" si="118"/>
        <v>711.5</v>
      </c>
      <c r="AN14" s="26" t="s">
        <v>34</v>
      </c>
      <c r="AO14" s="26">
        <f>1119.3-G14-I14-M14-Q14-U14-Y14-AC14-AG14-AK14</f>
        <v>407.79999999999973</v>
      </c>
      <c r="AP14" s="26">
        <v>0</v>
      </c>
      <c r="AQ14" s="26">
        <f t="shared" si="119"/>
        <v>1119.2999999999997</v>
      </c>
      <c r="AR14" s="26" t="s">
        <v>34</v>
      </c>
      <c r="AS14" s="26">
        <v>81.900000000000006</v>
      </c>
      <c r="AT14" s="26">
        <v>0</v>
      </c>
      <c r="AU14" s="26">
        <f t="shared" si="120"/>
        <v>1201.1999999999998</v>
      </c>
      <c r="AV14" s="26" t="s">
        <v>34</v>
      </c>
      <c r="AW14" s="26">
        <v>67.8</v>
      </c>
      <c r="AX14" s="26">
        <v>0</v>
      </c>
      <c r="AY14" s="26">
        <v>1701</v>
      </c>
      <c r="AZ14" s="26" t="s">
        <v>34</v>
      </c>
      <c r="BA14" s="55">
        <f t="shared" si="109"/>
        <v>0.34042553191489389</v>
      </c>
      <c r="BB14" s="55" t="s">
        <v>34</v>
      </c>
      <c r="BC14" s="26">
        <v>6.2</v>
      </c>
      <c r="BD14" s="26">
        <v>0</v>
      </c>
      <c r="BE14" s="26">
        <v>15.4</v>
      </c>
      <c r="BF14" s="26">
        <v>0</v>
      </c>
      <c r="BG14" s="26">
        <f t="shared" si="125"/>
        <v>21.6</v>
      </c>
      <c r="BH14" s="26" t="s">
        <v>34</v>
      </c>
      <c r="BI14" s="55">
        <f t="shared" si="22"/>
        <v>-0.38810198300283272</v>
      </c>
      <c r="BJ14" s="55" t="s">
        <v>34</v>
      </c>
      <c r="BK14" s="26">
        <f>1+22.3+23.2+1</f>
        <v>47.5</v>
      </c>
      <c r="BL14" s="26">
        <v>0</v>
      </c>
      <c r="BM14" s="26">
        <f t="shared" si="126"/>
        <v>69.099999999999994</v>
      </c>
      <c r="BN14" s="26" t="s">
        <v>34</v>
      </c>
      <c r="BO14" s="55">
        <f t="shared" si="24"/>
        <v>0.18321917808219168</v>
      </c>
      <c r="BP14" s="55" t="s">
        <v>34</v>
      </c>
      <c r="BQ14" s="26"/>
      <c r="BR14" s="26"/>
      <c r="BS14" s="26">
        <f t="shared" si="127"/>
        <v>69.099999999999994</v>
      </c>
      <c r="BT14" s="26" t="s">
        <v>34</v>
      </c>
      <c r="BU14" s="55">
        <f t="shared" si="25"/>
        <v>-2.8860028860027143E-3</v>
      </c>
      <c r="BV14" s="55" t="s">
        <v>34</v>
      </c>
      <c r="BW14" s="26"/>
      <c r="BX14" s="26"/>
      <c r="BY14" s="26">
        <f t="shared" si="128"/>
        <v>69.099999999999994</v>
      </c>
      <c r="BZ14" s="26" t="s">
        <v>34</v>
      </c>
      <c r="CA14" s="55">
        <f t="shared" si="27"/>
        <v>10.1451612903226</v>
      </c>
      <c r="CB14" s="55" t="s">
        <v>34</v>
      </c>
      <c r="CC14" s="26"/>
      <c r="CD14" s="26"/>
      <c r="CE14" s="26">
        <f t="shared" si="129"/>
        <v>69.099999999999994</v>
      </c>
      <c r="CF14" s="26" t="s">
        <v>34</v>
      </c>
      <c r="CG14" s="55">
        <f t="shared" si="29"/>
        <v>2.3221153846153846</v>
      </c>
      <c r="CH14" s="55" t="s">
        <v>34</v>
      </c>
      <c r="CI14" s="26"/>
      <c r="CJ14" s="26"/>
      <c r="CK14" s="26">
        <f t="shared" si="130"/>
        <v>69.099999999999994</v>
      </c>
      <c r="CL14" s="26" t="s">
        <v>34</v>
      </c>
      <c r="CM14" s="55">
        <f t="shared" si="31"/>
        <v>0.52538631346578368</v>
      </c>
      <c r="CN14" s="55" t="s">
        <v>34</v>
      </c>
      <c r="CO14" s="26"/>
      <c r="CP14" s="26"/>
      <c r="CQ14" s="26">
        <f t="shared" si="131"/>
        <v>69.099999999999994</v>
      </c>
      <c r="CR14" s="26" t="s">
        <v>34</v>
      </c>
      <c r="CS14" s="55">
        <f t="shared" si="33"/>
        <v>-0.60960451977401131</v>
      </c>
      <c r="CT14" s="55" t="s">
        <v>34</v>
      </c>
      <c r="CU14" s="26"/>
      <c r="CV14" s="26"/>
      <c r="CW14" s="26">
        <f t="shared" si="132"/>
        <v>69.099999999999994</v>
      </c>
      <c r="CX14" s="26" t="s">
        <v>34</v>
      </c>
      <c r="CY14" s="55">
        <f t="shared" si="35"/>
        <v>-0.9028812368236121</v>
      </c>
      <c r="CZ14" s="55" t="s">
        <v>34</v>
      </c>
      <c r="DA14" s="26"/>
      <c r="DB14" s="26"/>
      <c r="DC14" s="26">
        <f t="shared" si="133"/>
        <v>69.099999999999994</v>
      </c>
      <c r="DD14" s="26" t="s">
        <v>34</v>
      </c>
      <c r="DE14" s="55">
        <f t="shared" si="37"/>
        <v>-0.9382649870454749</v>
      </c>
      <c r="DF14" s="55" t="s">
        <v>34</v>
      </c>
      <c r="DG14" s="26"/>
      <c r="DH14" s="26"/>
      <c r="DI14" s="26">
        <f t="shared" si="134"/>
        <v>69.099999999999994</v>
      </c>
      <c r="DJ14" s="26" t="s">
        <v>34</v>
      </c>
      <c r="DK14" s="55">
        <f t="shared" si="39"/>
        <v>-0.94247419247419251</v>
      </c>
      <c r="DL14" s="55" t="s">
        <v>34</v>
      </c>
      <c r="DM14" s="26"/>
      <c r="DN14" s="26"/>
      <c r="DO14" s="26"/>
      <c r="DP14" s="26"/>
      <c r="DQ14" s="26">
        <v>1701</v>
      </c>
      <c r="DR14" s="26" t="s">
        <v>34</v>
      </c>
      <c r="DS14" s="55">
        <f>IF($AY$14=0,1,DQ14/$AY$14-1)</f>
        <v>0</v>
      </c>
      <c r="DT14" s="55" t="s">
        <v>34</v>
      </c>
      <c r="DU14" s="55">
        <f>IF($E$14=0,1,DQ14/$E$14-1)</f>
        <v>0.34042553191489389</v>
      </c>
      <c r="DV14" s="55" t="s">
        <v>34</v>
      </c>
      <c r="DW14" s="25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333" t="s">
        <v>35</v>
      </c>
      <c r="B15" s="334"/>
      <c r="C15" s="26">
        <f>'[1]прогноз '!B23</f>
        <v>11676.9</v>
      </c>
      <c r="D15" s="26" t="s">
        <v>34</v>
      </c>
      <c r="E15" s="26">
        <f t="shared" si="110"/>
        <v>20268.899999999998</v>
      </c>
      <c r="F15" s="26" t="s">
        <v>34</v>
      </c>
      <c r="G15" s="26">
        <v>980.3</v>
      </c>
      <c r="H15" s="26" t="s">
        <v>34</v>
      </c>
      <c r="I15" s="26">
        <f>4101.8-G15</f>
        <v>3121.5</v>
      </c>
      <c r="J15" s="26" t="s">
        <v>34</v>
      </c>
      <c r="K15" s="26">
        <f t="shared" si="111"/>
        <v>4101.8</v>
      </c>
      <c r="L15" s="26" t="s">
        <v>34</v>
      </c>
      <c r="M15" s="26">
        <f>6587.9-G15-I15-54.4</f>
        <v>2431.6999999999994</v>
      </c>
      <c r="N15" s="26" t="s">
        <v>34</v>
      </c>
      <c r="O15" s="26">
        <f t="shared" si="112"/>
        <v>6533.5</v>
      </c>
      <c r="P15" s="26" t="s">
        <v>34</v>
      </c>
      <c r="Q15" s="26">
        <f>7947.8-G15-I15-M15-54.4</f>
        <v>1359.9000000000005</v>
      </c>
      <c r="R15" s="26" t="s">
        <v>34</v>
      </c>
      <c r="S15" s="26">
        <f t="shared" si="113"/>
        <v>7893.4000000000005</v>
      </c>
      <c r="T15" s="26" t="s">
        <v>34</v>
      </c>
      <c r="U15" s="26">
        <f>8291.1-G15-I15-M15-Q15</f>
        <v>397.70000000000027</v>
      </c>
      <c r="V15" s="26" t="s">
        <v>34</v>
      </c>
      <c r="W15" s="26">
        <f t="shared" si="114"/>
        <v>8291.1</v>
      </c>
      <c r="X15" s="26" t="s">
        <v>34</v>
      </c>
      <c r="Y15" s="26">
        <f>9248.9-G15-I15-M15-Q15-U15</f>
        <v>957.80000000000018</v>
      </c>
      <c r="Z15" s="26" t="s">
        <v>34</v>
      </c>
      <c r="AA15" s="26">
        <f t="shared" si="115"/>
        <v>9248.9000000000015</v>
      </c>
      <c r="AB15" s="26" t="s">
        <v>34</v>
      </c>
      <c r="AC15" s="26">
        <f>1275.8-54</f>
        <v>1221.8</v>
      </c>
      <c r="AD15" s="26" t="s">
        <v>34</v>
      </c>
      <c r="AE15" s="26">
        <f t="shared" si="116"/>
        <v>10470.700000000001</v>
      </c>
      <c r="AF15" s="26" t="s">
        <v>34</v>
      </c>
      <c r="AG15" s="26">
        <f>11731-G15-I15-M15-Q15-U15-Y15-AC15-54</f>
        <v>1206.3000000000009</v>
      </c>
      <c r="AH15" s="26" t="s">
        <v>34</v>
      </c>
      <c r="AI15" s="26">
        <f t="shared" si="117"/>
        <v>11677.000000000002</v>
      </c>
      <c r="AJ15" s="26" t="s">
        <v>34</v>
      </c>
      <c r="AK15" s="26">
        <f>14033-G15-I15-M15-Q15-U15-Y15-AC15-AG15-54</f>
        <v>2302</v>
      </c>
      <c r="AL15" s="23">
        <v>0</v>
      </c>
      <c r="AM15" s="26">
        <f t="shared" si="118"/>
        <v>13979.000000000002</v>
      </c>
      <c r="AN15" s="26" t="s">
        <v>34</v>
      </c>
      <c r="AO15" s="26">
        <f>17242.1-G15-I15-M15-Q15-U15-Y15-AC15-AG15-AK15-54</f>
        <v>3209.0999999999985</v>
      </c>
      <c r="AP15" s="26">
        <v>0</v>
      </c>
      <c r="AQ15" s="26">
        <f t="shared" si="119"/>
        <v>17188.099999999999</v>
      </c>
      <c r="AR15" s="26" t="s">
        <v>34</v>
      </c>
      <c r="AS15" s="26">
        <v>2015.5</v>
      </c>
      <c r="AT15" s="26">
        <v>0</v>
      </c>
      <c r="AU15" s="26">
        <f t="shared" si="120"/>
        <v>19203.599999999999</v>
      </c>
      <c r="AV15" s="26" t="s">
        <v>34</v>
      </c>
      <c r="AW15" s="26">
        <f>1065.3</f>
        <v>1065.3</v>
      </c>
      <c r="AX15" s="26">
        <v>0</v>
      </c>
      <c r="AY15" s="26">
        <v>21278</v>
      </c>
      <c r="AZ15" s="26" t="s">
        <v>34</v>
      </c>
      <c r="BA15" s="55">
        <f t="shared" si="109"/>
        <v>4.9785632175401773E-2</v>
      </c>
      <c r="BB15" s="55" t="s">
        <v>34</v>
      </c>
      <c r="BC15" s="26">
        <v>1925</v>
      </c>
      <c r="BD15" s="26">
        <v>0</v>
      </c>
      <c r="BE15" s="26">
        <v>2199.8000000000002</v>
      </c>
      <c r="BF15" s="26">
        <v>0</v>
      </c>
      <c r="BG15" s="26">
        <f t="shared" si="125"/>
        <v>4124.8</v>
      </c>
      <c r="BH15" s="26" t="s">
        <v>34</v>
      </c>
      <c r="BI15" s="55">
        <f t="shared" si="22"/>
        <v>5.6072943585743218E-3</v>
      </c>
      <c r="BJ15" s="55" t="s">
        <v>34</v>
      </c>
      <c r="BK15" s="26">
        <f>200+168.8+2199.6+21</f>
        <v>2589.4</v>
      </c>
      <c r="BL15" s="26">
        <v>0</v>
      </c>
      <c r="BM15" s="26">
        <f t="shared" si="126"/>
        <v>6714.2000000000007</v>
      </c>
      <c r="BN15" s="26" t="s">
        <v>34</v>
      </c>
      <c r="BO15" s="55">
        <f t="shared" si="24"/>
        <v>2.765745771791539E-2</v>
      </c>
      <c r="BP15" s="55" t="s">
        <v>34</v>
      </c>
      <c r="BQ15" s="26"/>
      <c r="BR15" s="26"/>
      <c r="BS15" s="26">
        <f t="shared" si="127"/>
        <v>6714.2000000000007</v>
      </c>
      <c r="BT15" s="26" t="s">
        <v>34</v>
      </c>
      <c r="BU15" s="55">
        <f t="shared" si="25"/>
        <v>-0.14939063014670484</v>
      </c>
      <c r="BV15" s="55" t="s">
        <v>34</v>
      </c>
      <c r="BW15" s="26"/>
      <c r="BX15" s="26"/>
      <c r="BY15" s="26">
        <f t="shared" si="128"/>
        <v>6714.2000000000007</v>
      </c>
      <c r="BZ15" s="26" t="s">
        <v>34</v>
      </c>
      <c r="CA15" s="55">
        <f t="shared" si="27"/>
        <v>-0.19019189251124691</v>
      </c>
      <c r="CB15" s="55" t="s">
        <v>34</v>
      </c>
      <c r="CC15" s="26"/>
      <c r="CD15" s="26"/>
      <c r="CE15" s="26">
        <f t="shared" si="129"/>
        <v>6714.2000000000007</v>
      </c>
      <c r="CF15" s="26" t="s">
        <v>34</v>
      </c>
      <c r="CG15" s="55">
        <f t="shared" si="29"/>
        <v>-0.27405421185222034</v>
      </c>
      <c r="CH15" s="55" t="s">
        <v>34</v>
      </c>
      <c r="CI15" s="26"/>
      <c r="CJ15" s="26"/>
      <c r="CK15" s="26">
        <f t="shared" si="130"/>
        <v>6714.2000000000007</v>
      </c>
      <c r="CL15" s="26" t="s">
        <v>34</v>
      </c>
      <c r="CM15" s="55">
        <f t="shared" si="31"/>
        <v>-0.35876302443962671</v>
      </c>
      <c r="CN15" s="55" t="s">
        <v>34</v>
      </c>
      <c r="CO15" s="26"/>
      <c r="CP15" s="26"/>
      <c r="CQ15" s="26">
        <f t="shared" si="131"/>
        <v>6714.2000000000007</v>
      </c>
      <c r="CR15" s="26" t="s">
        <v>34</v>
      </c>
      <c r="CS15" s="55">
        <f t="shared" si="33"/>
        <v>-0.42500642288258972</v>
      </c>
      <c r="CT15" s="55" t="s">
        <v>34</v>
      </c>
      <c r="CU15" s="26"/>
      <c r="CV15" s="26"/>
      <c r="CW15" s="26">
        <f t="shared" si="132"/>
        <v>6714.2000000000007</v>
      </c>
      <c r="CX15" s="26" t="s">
        <v>34</v>
      </c>
      <c r="CY15" s="55">
        <f t="shared" si="35"/>
        <v>-0.51969382645396667</v>
      </c>
      <c r="CZ15" s="55" t="s">
        <v>34</v>
      </c>
      <c r="DA15" s="26"/>
      <c r="DB15" s="26"/>
      <c r="DC15" s="26">
        <f t="shared" si="133"/>
        <v>6714.2000000000007</v>
      </c>
      <c r="DD15" s="26" t="s">
        <v>34</v>
      </c>
      <c r="DE15" s="55">
        <f t="shared" si="37"/>
        <v>-0.60936927292719956</v>
      </c>
      <c r="DF15" s="55" t="s">
        <v>34</v>
      </c>
      <c r="DG15" s="26"/>
      <c r="DH15" s="26"/>
      <c r="DI15" s="26">
        <f t="shared" si="134"/>
        <v>6714.2000000000007</v>
      </c>
      <c r="DJ15" s="26" t="s">
        <v>34</v>
      </c>
      <c r="DK15" s="55">
        <f t="shared" si="39"/>
        <v>-0.65036763940094566</v>
      </c>
      <c r="DL15" s="55" t="s">
        <v>34</v>
      </c>
      <c r="DM15" s="26"/>
      <c r="DN15" s="26"/>
      <c r="DO15" s="26"/>
      <c r="DP15" s="26"/>
      <c r="DQ15" s="26">
        <v>21278</v>
      </c>
      <c r="DR15" s="26" t="s">
        <v>34</v>
      </c>
      <c r="DS15" s="55">
        <f>IF($AY$15=0,1,DQ15/$AY$15-1)</f>
        <v>0</v>
      </c>
      <c r="DT15" s="55" t="s">
        <v>34</v>
      </c>
      <c r="DU15" s="55">
        <f>IF($E$15=0,1,DQ15/$E$15-1)</f>
        <v>4.9785632175401773E-2</v>
      </c>
      <c r="DV15" s="55" t="s">
        <v>34</v>
      </c>
      <c r="DW15" s="25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33" t="s">
        <v>36</v>
      </c>
      <c r="B16" s="334"/>
      <c r="C16" s="26">
        <f>'[1]прогноз '!B24</f>
        <v>533</v>
      </c>
      <c r="D16" s="26">
        <f>'[1]прогноз '!C24</f>
        <v>532.5</v>
      </c>
      <c r="E16" s="26">
        <f t="shared" si="110"/>
        <v>232.90000000000003</v>
      </c>
      <c r="F16" s="26">
        <f t="shared" si="110"/>
        <v>232.90000000000003</v>
      </c>
      <c r="G16" s="26">
        <v>55.7</v>
      </c>
      <c r="H16" s="26">
        <v>55.8</v>
      </c>
      <c r="I16" s="26">
        <v>34.799999999999997</v>
      </c>
      <c r="J16" s="26">
        <v>34.799999999999997</v>
      </c>
      <c r="K16" s="26">
        <f t="shared" si="111"/>
        <v>90.5</v>
      </c>
      <c r="L16" s="26">
        <f t="shared" si="111"/>
        <v>90.6</v>
      </c>
      <c r="M16" s="26">
        <v>16.7</v>
      </c>
      <c r="N16" s="26">
        <v>16.7</v>
      </c>
      <c r="O16" s="26">
        <f t="shared" si="112"/>
        <v>107.2</v>
      </c>
      <c r="P16" s="26">
        <f t="shared" si="112"/>
        <v>107.3</v>
      </c>
      <c r="Q16" s="26">
        <f>107.2-G16-I16-M16</f>
        <v>0</v>
      </c>
      <c r="R16" s="26">
        <v>0.01</v>
      </c>
      <c r="S16" s="26">
        <f t="shared" si="113"/>
        <v>107.2</v>
      </c>
      <c r="T16" s="26">
        <f t="shared" si="113"/>
        <v>107.31</v>
      </c>
      <c r="U16" s="26">
        <f>119.8-G16-I16-M16-Q16</f>
        <v>12.599999999999998</v>
      </c>
      <c r="V16" s="26">
        <v>12.6</v>
      </c>
      <c r="W16" s="26">
        <f t="shared" si="114"/>
        <v>119.8</v>
      </c>
      <c r="X16" s="26">
        <f t="shared" si="114"/>
        <v>119.91</v>
      </c>
      <c r="Y16" s="26">
        <f>129.2-G16-I16-M16-Q16-U16</f>
        <v>9.3999999999999915</v>
      </c>
      <c r="Z16" s="26">
        <v>9.3000000000000007</v>
      </c>
      <c r="AA16" s="26">
        <f t="shared" si="115"/>
        <v>129.19999999999999</v>
      </c>
      <c r="AB16" s="26">
        <f t="shared" si="115"/>
        <v>129.21</v>
      </c>
      <c r="AC16" s="26">
        <v>-9</v>
      </c>
      <c r="AD16" s="26">
        <v>-8.8000000000000007</v>
      </c>
      <c r="AE16" s="26">
        <f t="shared" si="116"/>
        <v>120.19999999999999</v>
      </c>
      <c r="AF16" s="26">
        <f t="shared" si="116"/>
        <v>120.41000000000001</v>
      </c>
      <c r="AG16" s="26">
        <f>124.4-G16-I16-M16-Q16-U16-Y16-AC16</f>
        <v>4.2000000000000171</v>
      </c>
      <c r="AH16" s="26">
        <f>124.4-H16-J16-N16-R16-V16-Z16-AD16</f>
        <v>3.9900000000000109</v>
      </c>
      <c r="AI16" s="26">
        <f t="shared" si="117"/>
        <v>124.4</v>
      </c>
      <c r="AJ16" s="26">
        <f t="shared" si="117"/>
        <v>124.40000000000002</v>
      </c>
      <c r="AK16" s="26">
        <f>127.7-G16-I16-M16-Q16-U16-Y16-AC16-AG16</f>
        <v>3.2999999999999972</v>
      </c>
      <c r="AL16" s="23">
        <f>127.7-H16-J16-N16-R16-V16-Z16-AD16-AH16</f>
        <v>3.2999999999999972</v>
      </c>
      <c r="AM16" s="26">
        <f t="shared" si="118"/>
        <v>127.7</v>
      </c>
      <c r="AN16" s="26">
        <f t="shared" si="118"/>
        <v>127.70000000000002</v>
      </c>
      <c r="AO16" s="26">
        <f>148.9-G16-I16-M16-Q16-U16-Y16-AC16-AG16-AK16</f>
        <v>21.2</v>
      </c>
      <c r="AP16" s="26">
        <f>148.9-H16-J16-N16-R16-V16-Z16-AD16-AH16-AL16</f>
        <v>21.200000000000003</v>
      </c>
      <c r="AQ16" s="26">
        <f t="shared" si="119"/>
        <v>148.9</v>
      </c>
      <c r="AR16" s="26">
        <f t="shared" si="119"/>
        <v>148.90000000000003</v>
      </c>
      <c r="AS16" s="26">
        <v>54.7</v>
      </c>
      <c r="AT16" s="26">
        <v>54.7</v>
      </c>
      <c r="AU16" s="26">
        <f t="shared" si="120"/>
        <v>203.60000000000002</v>
      </c>
      <c r="AV16" s="26">
        <f t="shared" si="120"/>
        <v>203.60000000000002</v>
      </c>
      <c r="AW16" s="26">
        <f>0+AX16</f>
        <v>29.3</v>
      </c>
      <c r="AX16" s="26">
        <v>29.3</v>
      </c>
      <c r="AY16" s="26">
        <v>300</v>
      </c>
      <c r="AZ16" s="26">
        <v>300</v>
      </c>
      <c r="BA16" s="55">
        <f t="shared" si="109"/>
        <v>0.2881064834692999</v>
      </c>
      <c r="BB16" s="55">
        <f t="shared" si="109"/>
        <v>0.2881064834692999</v>
      </c>
      <c r="BC16" s="26">
        <v>6.6</v>
      </c>
      <c r="BD16" s="26">
        <v>6.6</v>
      </c>
      <c r="BE16" s="26">
        <v>18.5</v>
      </c>
      <c r="BF16" s="26">
        <v>18.5</v>
      </c>
      <c r="BG16" s="26">
        <f t="shared" si="125"/>
        <v>25.1</v>
      </c>
      <c r="BH16" s="26">
        <f t="shared" si="125"/>
        <v>25.1</v>
      </c>
      <c r="BI16" s="55">
        <f t="shared" si="22"/>
        <v>-0.72265193370165748</v>
      </c>
      <c r="BJ16" s="55">
        <f t="shared" si="22"/>
        <v>-0.72295805739514352</v>
      </c>
      <c r="BK16" s="26">
        <v>15</v>
      </c>
      <c r="BL16" s="26">
        <v>63.4</v>
      </c>
      <c r="BM16" s="26">
        <f t="shared" si="126"/>
        <v>40.1</v>
      </c>
      <c r="BN16" s="26">
        <f t="shared" si="126"/>
        <v>88.5</v>
      </c>
      <c r="BO16" s="55">
        <f t="shared" si="24"/>
        <v>-0.62593283582089554</v>
      </c>
      <c r="BP16" s="55">
        <f t="shared" si="24"/>
        <v>-0.17520969245107176</v>
      </c>
      <c r="BQ16" s="26"/>
      <c r="BR16" s="26"/>
      <c r="BS16" s="26">
        <f t="shared" si="127"/>
        <v>40.1</v>
      </c>
      <c r="BT16" s="26">
        <f t="shared" si="127"/>
        <v>88.5</v>
      </c>
      <c r="BU16" s="55">
        <f t="shared" si="25"/>
        <v>-0.62593283582089554</v>
      </c>
      <c r="BV16" s="55">
        <f t="shared" si="25"/>
        <v>-0.17528655297735529</v>
      </c>
      <c r="BW16" s="26"/>
      <c r="BX16" s="26"/>
      <c r="BY16" s="26">
        <f t="shared" si="128"/>
        <v>40.1</v>
      </c>
      <c r="BZ16" s="26">
        <f t="shared" si="128"/>
        <v>88.5</v>
      </c>
      <c r="CA16" s="55">
        <f t="shared" si="27"/>
        <v>-0.6652754590984975</v>
      </c>
      <c r="CB16" s="55">
        <f t="shared" si="27"/>
        <v>-0.26194645984488363</v>
      </c>
      <c r="CC16" s="26"/>
      <c r="CD16" s="26"/>
      <c r="CE16" s="26">
        <f t="shared" si="129"/>
        <v>40.1</v>
      </c>
      <c r="CF16" s="26">
        <f t="shared" si="129"/>
        <v>88.5</v>
      </c>
      <c r="CG16" s="55">
        <f t="shared" si="29"/>
        <v>-0.68962848297213619</v>
      </c>
      <c r="CH16" s="55">
        <f t="shared" si="29"/>
        <v>-0.31506849315068497</v>
      </c>
      <c r="CI16" s="26"/>
      <c r="CJ16" s="26"/>
      <c r="CK16" s="26">
        <f t="shared" si="130"/>
        <v>40.1</v>
      </c>
      <c r="CL16" s="26">
        <f t="shared" si="130"/>
        <v>88.5</v>
      </c>
      <c r="CM16" s="55">
        <f t="shared" si="31"/>
        <v>-0.66638935108153075</v>
      </c>
      <c r="CN16" s="55">
        <f t="shared" si="31"/>
        <v>-0.26501121169338104</v>
      </c>
      <c r="CO16" s="26"/>
      <c r="CP16" s="26"/>
      <c r="CQ16" s="26">
        <f t="shared" si="131"/>
        <v>40.1</v>
      </c>
      <c r="CR16" s="26">
        <f t="shared" si="131"/>
        <v>88.5</v>
      </c>
      <c r="CS16" s="55">
        <f t="shared" si="33"/>
        <v>-0.67765273311897101</v>
      </c>
      <c r="CT16" s="55">
        <f t="shared" si="33"/>
        <v>-0.28858520900321549</v>
      </c>
      <c r="CU16" s="26"/>
      <c r="CV16" s="26"/>
      <c r="CW16" s="26">
        <f t="shared" si="132"/>
        <v>40.1</v>
      </c>
      <c r="CX16" s="26">
        <f t="shared" si="132"/>
        <v>88.5</v>
      </c>
      <c r="CY16" s="55">
        <f t="shared" si="35"/>
        <v>-0.6859827721221613</v>
      </c>
      <c r="CZ16" s="55">
        <f t="shared" si="35"/>
        <v>-0.30696945967110423</v>
      </c>
      <c r="DA16" s="26"/>
      <c r="DB16" s="26"/>
      <c r="DC16" s="26">
        <f t="shared" si="133"/>
        <v>40.1</v>
      </c>
      <c r="DD16" s="26">
        <f t="shared" si="133"/>
        <v>88.5</v>
      </c>
      <c r="DE16" s="55">
        <f t="shared" si="37"/>
        <v>-0.73069173942243115</v>
      </c>
      <c r="DF16" s="55">
        <f t="shared" si="37"/>
        <v>-0.40564137004701151</v>
      </c>
      <c r="DG16" s="26"/>
      <c r="DH16" s="26"/>
      <c r="DI16" s="26">
        <f t="shared" si="134"/>
        <v>40.1</v>
      </c>
      <c r="DJ16" s="26">
        <f t="shared" si="134"/>
        <v>88.5</v>
      </c>
      <c r="DK16" s="55">
        <f t="shared" si="39"/>
        <v>-0.80304518664047153</v>
      </c>
      <c r="DL16" s="55">
        <f t="shared" si="39"/>
        <v>-0.56532416502946958</v>
      </c>
      <c r="DM16" s="26"/>
      <c r="DN16" s="26"/>
      <c r="DO16" s="26"/>
      <c r="DP16" s="26"/>
      <c r="DQ16" s="26">
        <v>300</v>
      </c>
      <c r="DR16" s="26">
        <v>300</v>
      </c>
      <c r="DS16" s="55">
        <f>IF($AY$16=0,1,DQ16/$AY$16-1)</f>
        <v>0</v>
      </c>
      <c r="DT16" s="55">
        <f>IF($AZ$16=0,1,DR16/$AZ$16-1)</f>
        <v>0</v>
      </c>
      <c r="DU16" s="55">
        <f>IF($E$16=0,1,DQ16/$E$16-1)</f>
        <v>0.2881064834692999</v>
      </c>
      <c r="DV16" s="55">
        <f>IF($E$16=0,1,DR16/$E$16-1)</f>
        <v>0.2881064834692999</v>
      </c>
      <c r="DW16" s="25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333" t="s">
        <v>37</v>
      </c>
      <c r="B17" s="334"/>
      <c r="C17" s="26">
        <f>'[1]прогноз '!B25</f>
        <v>6834.7</v>
      </c>
      <c r="D17" s="26">
        <f>'[1]прогноз '!C25</f>
        <v>6834.4000000000005</v>
      </c>
      <c r="E17" s="26">
        <f t="shared" si="110"/>
        <v>6189.4</v>
      </c>
      <c r="F17" s="26">
        <f t="shared" si="110"/>
        <v>6189.4</v>
      </c>
      <c r="G17" s="26">
        <v>218.9</v>
      </c>
      <c r="H17" s="26">
        <v>219</v>
      </c>
      <c r="I17" s="26">
        <f>581.8-G17</f>
        <v>362.9</v>
      </c>
      <c r="J17" s="26">
        <v>362.8</v>
      </c>
      <c r="K17" s="26">
        <f t="shared" si="111"/>
        <v>581.79999999999995</v>
      </c>
      <c r="L17" s="26">
        <f t="shared" si="111"/>
        <v>581.79999999999995</v>
      </c>
      <c r="M17" s="26">
        <f>827.6-G17-I17</f>
        <v>245.80000000000007</v>
      </c>
      <c r="N17" s="26">
        <v>245.8</v>
      </c>
      <c r="O17" s="26">
        <f t="shared" si="112"/>
        <v>827.6</v>
      </c>
      <c r="P17" s="26">
        <f t="shared" si="112"/>
        <v>827.59999999999991</v>
      </c>
      <c r="Q17" s="26">
        <f>1542.5-G17-I17-M17</f>
        <v>714.89999999999986</v>
      </c>
      <c r="R17" s="26">
        <v>714.9</v>
      </c>
      <c r="S17" s="26">
        <f t="shared" si="113"/>
        <v>1542.5</v>
      </c>
      <c r="T17" s="26">
        <f t="shared" si="113"/>
        <v>1542.5</v>
      </c>
      <c r="U17" s="26">
        <f>2111.8-G17-I17-M17-Q17</f>
        <v>569.29999999999995</v>
      </c>
      <c r="V17" s="26">
        <v>569.29999999999995</v>
      </c>
      <c r="W17" s="26">
        <f t="shared" si="114"/>
        <v>2111.8000000000002</v>
      </c>
      <c r="X17" s="26">
        <f t="shared" si="114"/>
        <v>2111.8000000000002</v>
      </c>
      <c r="Y17" s="26">
        <f>2417.7-G17-I17-M17-Q17-U17</f>
        <v>305.89999999999964</v>
      </c>
      <c r="Z17" s="26">
        <v>305.8</v>
      </c>
      <c r="AA17" s="26">
        <f t="shared" si="115"/>
        <v>2417.6999999999998</v>
      </c>
      <c r="AB17" s="26">
        <f t="shared" si="115"/>
        <v>2417.6000000000004</v>
      </c>
      <c r="AC17" s="26">
        <v>615.5</v>
      </c>
      <c r="AD17" s="26">
        <v>615.5</v>
      </c>
      <c r="AE17" s="26">
        <f t="shared" si="116"/>
        <v>3033.2</v>
      </c>
      <c r="AF17" s="26">
        <f t="shared" si="116"/>
        <v>3033.1000000000004</v>
      </c>
      <c r="AG17" s="26">
        <f>3431.4-G17-I17-M17-Q17-U17-Y17-AC17</f>
        <v>398.20000000000027</v>
      </c>
      <c r="AH17" s="26">
        <f>3431.4-H17-J17-N17-R17-V17-Z17-AD17</f>
        <v>398.29999999999973</v>
      </c>
      <c r="AI17" s="26">
        <f t="shared" si="117"/>
        <v>3431.4</v>
      </c>
      <c r="AJ17" s="26">
        <f t="shared" si="117"/>
        <v>3431.4</v>
      </c>
      <c r="AK17" s="26">
        <f>3949.7-G17-I17-M17-Q17-U17-Y17-AC17-AG17</f>
        <v>518.29999999999995</v>
      </c>
      <c r="AL17" s="23">
        <f>3949.7-H17-J17-N17-R17-V17-Z17-AD17-AH17</f>
        <v>518.29999999999973</v>
      </c>
      <c r="AM17" s="26">
        <f t="shared" si="118"/>
        <v>3949.7</v>
      </c>
      <c r="AN17" s="26">
        <f t="shared" si="118"/>
        <v>3949.7</v>
      </c>
      <c r="AO17" s="26">
        <f>4344.4-G17-I17-M17-Q17-U17-Y17-AC17-AG17-AK17</f>
        <v>394.69999999999959</v>
      </c>
      <c r="AP17" s="26">
        <f>4344.4-H17-J17-N17-R17-V17-Z17-AD17-AH17-AL17</f>
        <v>394.70000000000005</v>
      </c>
      <c r="AQ17" s="26">
        <f t="shared" si="119"/>
        <v>4344.3999999999996</v>
      </c>
      <c r="AR17" s="26">
        <f t="shared" si="119"/>
        <v>4344.3999999999996</v>
      </c>
      <c r="AS17" s="26">
        <v>1031.3</v>
      </c>
      <c r="AT17" s="26">
        <v>1031.3</v>
      </c>
      <c r="AU17" s="26">
        <f t="shared" si="120"/>
        <v>5375.7</v>
      </c>
      <c r="AV17" s="26">
        <f t="shared" si="120"/>
        <v>5375.7</v>
      </c>
      <c r="AW17" s="26">
        <f>0+AX17</f>
        <v>813.7</v>
      </c>
      <c r="AX17" s="26">
        <v>813.7</v>
      </c>
      <c r="AY17" s="26">
        <v>3420</v>
      </c>
      <c r="AZ17" s="26">
        <v>3420</v>
      </c>
      <c r="BA17" s="55">
        <f t="shared" si="109"/>
        <v>-0.44744240152518822</v>
      </c>
      <c r="BB17" s="55">
        <f t="shared" si="109"/>
        <v>-0.44744240152518822</v>
      </c>
      <c r="BC17" s="26">
        <v>150.80000000000001</v>
      </c>
      <c r="BD17" s="26">
        <v>150.80000000000001</v>
      </c>
      <c r="BE17" s="26">
        <v>240.9</v>
      </c>
      <c r="BF17" s="26">
        <v>240.9</v>
      </c>
      <c r="BG17" s="26">
        <f t="shared" si="125"/>
        <v>391.70000000000005</v>
      </c>
      <c r="BH17" s="26">
        <f t="shared" si="125"/>
        <v>391.70000000000005</v>
      </c>
      <c r="BI17" s="55">
        <f t="shared" si="22"/>
        <v>-0.32674458576830512</v>
      </c>
      <c r="BJ17" s="55">
        <f t="shared" si="22"/>
        <v>-0.32674458576830512</v>
      </c>
      <c r="BK17" s="26">
        <v>288</v>
      </c>
      <c r="BL17" s="26">
        <v>327.10000000000002</v>
      </c>
      <c r="BM17" s="26">
        <f t="shared" si="126"/>
        <v>679.7</v>
      </c>
      <c r="BN17" s="26">
        <f t="shared" si="126"/>
        <v>718.80000000000007</v>
      </c>
      <c r="BO17" s="55">
        <f t="shared" si="24"/>
        <v>-0.17870952150797481</v>
      </c>
      <c r="BP17" s="55">
        <f t="shared" si="24"/>
        <v>-0.1314644755920733</v>
      </c>
      <c r="BQ17" s="26"/>
      <c r="BR17" s="26"/>
      <c r="BS17" s="26">
        <f t="shared" si="127"/>
        <v>679.7</v>
      </c>
      <c r="BT17" s="26">
        <f t="shared" si="127"/>
        <v>718.80000000000007</v>
      </c>
      <c r="BU17" s="55">
        <f t="shared" si="25"/>
        <v>-0.55935170178282001</v>
      </c>
      <c r="BV17" s="55">
        <f t="shared" si="25"/>
        <v>-0.5340032414910858</v>
      </c>
      <c r="BW17" s="26"/>
      <c r="BX17" s="26"/>
      <c r="BY17" s="26">
        <f t="shared" si="128"/>
        <v>679.7</v>
      </c>
      <c r="BZ17" s="26">
        <f t="shared" si="128"/>
        <v>718.80000000000007</v>
      </c>
      <c r="CA17" s="55">
        <f t="shared" si="27"/>
        <v>-0.67814186949521738</v>
      </c>
      <c r="CB17" s="55">
        <f t="shared" si="27"/>
        <v>-0.65962685860403447</v>
      </c>
      <c r="CC17" s="26"/>
      <c r="CD17" s="26"/>
      <c r="CE17" s="26">
        <f t="shared" si="129"/>
        <v>679.7</v>
      </c>
      <c r="CF17" s="26">
        <f t="shared" si="129"/>
        <v>718.80000000000007</v>
      </c>
      <c r="CG17" s="55">
        <f t="shared" si="29"/>
        <v>-0.71886503701865401</v>
      </c>
      <c r="CH17" s="55">
        <f t="shared" si="29"/>
        <v>-0.70268034414295166</v>
      </c>
      <c r="CI17" s="26"/>
      <c r="CJ17" s="26"/>
      <c r="CK17" s="26">
        <f t="shared" si="130"/>
        <v>679.7</v>
      </c>
      <c r="CL17" s="26">
        <f t="shared" si="130"/>
        <v>718.80000000000007</v>
      </c>
      <c r="CM17" s="55">
        <f t="shared" si="31"/>
        <v>-0.77591322695503095</v>
      </c>
      <c r="CN17" s="55">
        <f t="shared" si="31"/>
        <v>-0.76301473739738224</v>
      </c>
      <c r="CO17" s="26"/>
      <c r="CP17" s="26"/>
      <c r="CQ17" s="26">
        <f t="shared" si="131"/>
        <v>679.7</v>
      </c>
      <c r="CR17" s="26">
        <f t="shared" si="131"/>
        <v>718.80000000000007</v>
      </c>
      <c r="CS17" s="55">
        <f t="shared" si="33"/>
        <v>-0.80191758465932272</v>
      </c>
      <c r="CT17" s="55">
        <f t="shared" si="33"/>
        <v>-0.7905228186745934</v>
      </c>
      <c r="CU17" s="26"/>
      <c r="CV17" s="26"/>
      <c r="CW17" s="26">
        <f t="shared" si="132"/>
        <v>679.7</v>
      </c>
      <c r="CX17" s="26">
        <f t="shared" si="132"/>
        <v>718.80000000000007</v>
      </c>
      <c r="CY17" s="55">
        <f t="shared" si="35"/>
        <v>-0.82791098058080359</v>
      </c>
      <c r="CZ17" s="55">
        <f t="shared" si="35"/>
        <v>-0.81801149454388944</v>
      </c>
      <c r="DA17" s="26"/>
      <c r="DB17" s="26"/>
      <c r="DC17" s="26">
        <f t="shared" si="133"/>
        <v>679.7</v>
      </c>
      <c r="DD17" s="26">
        <f t="shared" si="133"/>
        <v>718.80000000000007</v>
      </c>
      <c r="DE17" s="55">
        <f t="shared" si="37"/>
        <v>-0.84354571402264988</v>
      </c>
      <c r="DF17" s="55">
        <f t="shared" si="37"/>
        <v>-0.83454562195009663</v>
      </c>
      <c r="DG17" s="26"/>
      <c r="DH17" s="26"/>
      <c r="DI17" s="26">
        <f t="shared" si="134"/>
        <v>679.7</v>
      </c>
      <c r="DJ17" s="26">
        <f t="shared" si="134"/>
        <v>718.80000000000007</v>
      </c>
      <c r="DK17" s="55">
        <f t="shared" si="39"/>
        <v>-0.87356065256617743</v>
      </c>
      <c r="DL17" s="55">
        <f t="shared" si="39"/>
        <v>-0.86628718120430825</v>
      </c>
      <c r="DM17" s="26"/>
      <c r="DN17" s="26"/>
      <c r="DO17" s="26"/>
      <c r="DP17" s="26"/>
      <c r="DQ17" s="26">
        <v>3420</v>
      </c>
      <c r="DR17" s="26">
        <v>3420</v>
      </c>
      <c r="DS17" s="55">
        <f>IF($AY$17=0,1,DQ17/$AY$17-1)</f>
        <v>0</v>
      </c>
      <c r="DT17" s="55">
        <f>IF($AZ$17=0,1,DR17/$AZ$17-1)</f>
        <v>0</v>
      </c>
      <c r="DU17" s="55">
        <f>IF($E$17=0,1,DQ17/$E$17-1)</f>
        <v>-0.44744240152518822</v>
      </c>
      <c r="DV17" s="55">
        <f>IF($E$17=0,1,DR17/$E$17-1)</f>
        <v>-0.44744240152518822</v>
      </c>
      <c r="DW17" s="25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33" t="s">
        <v>38</v>
      </c>
      <c r="B18" s="334"/>
      <c r="C18" s="26">
        <f>'[1]прогноз '!B26</f>
        <v>8544.6</v>
      </c>
      <c r="D18" s="26">
        <f>'[1]прогноз '!C26</f>
        <v>2078.6000000000004</v>
      </c>
      <c r="E18" s="26">
        <f t="shared" si="110"/>
        <v>8790</v>
      </c>
      <c r="F18" s="26">
        <f t="shared" si="110"/>
        <v>2192.4000000000005</v>
      </c>
      <c r="G18" s="26">
        <v>770.1</v>
      </c>
      <c r="H18" s="26">
        <v>192.1</v>
      </c>
      <c r="I18" s="26">
        <f>1040.6-G18</f>
        <v>270.49999999999989</v>
      </c>
      <c r="J18" s="26">
        <v>67.5</v>
      </c>
      <c r="K18" s="26">
        <f t="shared" si="111"/>
        <v>1040.5999999999999</v>
      </c>
      <c r="L18" s="26">
        <f t="shared" si="111"/>
        <v>259.60000000000002</v>
      </c>
      <c r="M18" s="26">
        <f>2439.8-G18-I18</f>
        <v>1399.2000000000003</v>
      </c>
      <c r="N18" s="26">
        <v>349</v>
      </c>
      <c r="O18" s="26">
        <f t="shared" si="112"/>
        <v>2439.8000000000002</v>
      </c>
      <c r="P18" s="26">
        <f t="shared" si="112"/>
        <v>608.6</v>
      </c>
      <c r="Q18" s="26">
        <f>3019.5-G18-I18-M18</f>
        <v>579.69999999999982</v>
      </c>
      <c r="R18" s="26">
        <v>144.6</v>
      </c>
      <c r="S18" s="26">
        <f t="shared" si="113"/>
        <v>3019.5</v>
      </c>
      <c r="T18" s="26">
        <f t="shared" si="113"/>
        <v>753.2</v>
      </c>
      <c r="U18" s="26">
        <f>3833.1-G18-I18-M18-Q18</f>
        <v>813.59999999999991</v>
      </c>
      <c r="V18" s="26">
        <v>202.9</v>
      </c>
      <c r="W18" s="26">
        <f t="shared" si="114"/>
        <v>3833.1</v>
      </c>
      <c r="X18" s="26">
        <f t="shared" si="114"/>
        <v>956.1</v>
      </c>
      <c r="Y18" s="26">
        <f>4259-G18-I18-M18-Q18-U18</f>
        <v>425.90000000000009</v>
      </c>
      <c r="Z18" s="26">
        <v>106.2</v>
      </c>
      <c r="AA18" s="26">
        <f t="shared" si="115"/>
        <v>4259</v>
      </c>
      <c r="AB18" s="26">
        <f t="shared" si="115"/>
        <v>1062.3</v>
      </c>
      <c r="AC18" s="26">
        <v>978.1</v>
      </c>
      <c r="AD18" s="26">
        <v>244</v>
      </c>
      <c r="AE18" s="26">
        <f t="shared" si="116"/>
        <v>5237.1000000000004</v>
      </c>
      <c r="AF18" s="26">
        <f t="shared" si="116"/>
        <v>1306.3</v>
      </c>
      <c r="AG18" s="26">
        <f>5993.7-G18-I18-M18-Q18-U18-Y18-AC18</f>
        <v>756.59999999999934</v>
      </c>
      <c r="AH18" s="26">
        <f>1495-H18-J18-N18-R18-V18-Z18-AD18</f>
        <v>188.7000000000001</v>
      </c>
      <c r="AI18" s="26">
        <f t="shared" si="117"/>
        <v>5993.7</v>
      </c>
      <c r="AJ18" s="26">
        <f t="shared" si="117"/>
        <v>1495</v>
      </c>
      <c r="AK18" s="26">
        <f>6616.8-G18-I18-M18-Q18-U18-Y18-AC18-AG18</f>
        <v>623.10000000000093</v>
      </c>
      <c r="AL18" s="23">
        <f>1650.3-H18-J18-N18-R18-V18-Z18-AD18-AH18</f>
        <v>155.2999999999999</v>
      </c>
      <c r="AM18" s="26">
        <f t="shared" si="118"/>
        <v>6616.8000000000011</v>
      </c>
      <c r="AN18" s="26">
        <f t="shared" si="118"/>
        <v>1650.3</v>
      </c>
      <c r="AO18" s="26">
        <f>7458.1-G18-I18-M18-Q18-U18-Y18-AC18-AG18-AK18</f>
        <v>841.29999999999916</v>
      </c>
      <c r="AP18" s="26">
        <f>1860.2-H18-J18-N18-R18-V18-Z18-AD18-AH18-AL18</f>
        <v>209.9000000000002</v>
      </c>
      <c r="AQ18" s="26">
        <f t="shared" si="119"/>
        <v>7458.1</v>
      </c>
      <c r="AR18" s="26">
        <f t="shared" si="119"/>
        <v>1860.2000000000003</v>
      </c>
      <c r="AS18" s="26">
        <v>478.8</v>
      </c>
      <c r="AT18" s="26">
        <v>119.4</v>
      </c>
      <c r="AU18" s="26">
        <f t="shared" si="120"/>
        <v>7936.9000000000005</v>
      </c>
      <c r="AV18" s="26">
        <f t="shared" si="120"/>
        <v>1979.6000000000004</v>
      </c>
      <c r="AW18" s="26">
        <f>640.3+AX18</f>
        <v>853.09999999999991</v>
      </c>
      <c r="AX18" s="26">
        <v>212.8</v>
      </c>
      <c r="AY18" s="26">
        <v>9159.2999999999993</v>
      </c>
      <c r="AZ18" s="26">
        <v>2284.5</v>
      </c>
      <c r="BA18" s="55">
        <f t="shared" si="109"/>
        <v>4.2013651877133018E-2</v>
      </c>
      <c r="BB18" s="55">
        <f t="shared" si="109"/>
        <v>4.2008757525998641E-2</v>
      </c>
      <c r="BC18" s="26">
        <v>676.9</v>
      </c>
      <c r="BD18" s="26">
        <v>163.4</v>
      </c>
      <c r="BE18" s="26">
        <v>2.1</v>
      </c>
      <c r="BF18" s="26">
        <v>0.5</v>
      </c>
      <c r="BG18" s="26">
        <f t="shared" si="125"/>
        <v>679</v>
      </c>
      <c r="BH18" s="26">
        <f t="shared" si="125"/>
        <v>163.9</v>
      </c>
      <c r="BI18" s="55">
        <f t="shared" si="22"/>
        <v>-0.34749183163559483</v>
      </c>
      <c r="BJ18" s="55">
        <f t="shared" si="22"/>
        <v>-0.36864406779661019</v>
      </c>
      <c r="BK18" s="26">
        <f>80.5+58.8+58.4+321.5+6+13.5-+BL18</f>
        <v>170.30000000000007</v>
      </c>
      <c r="BL18" s="26">
        <v>368.4</v>
      </c>
      <c r="BM18" s="26">
        <f t="shared" si="126"/>
        <v>849.30000000000007</v>
      </c>
      <c r="BN18" s="26">
        <f t="shared" si="126"/>
        <v>532.29999999999995</v>
      </c>
      <c r="BO18" s="55">
        <f t="shared" si="24"/>
        <v>-0.65189769653250274</v>
      </c>
      <c r="BP18" s="55">
        <f t="shared" si="24"/>
        <v>-0.12536970095300703</v>
      </c>
      <c r="BQ18" s="26"/>
      <c r="BR18" s="26"/>
      <c r="BS18" s="26">
        <f t="shared" si="127"/>
        <v>849.30000000000007</v>
      </c>
      <c r="BT18" s="26">
        <f t="shared" si="127"/>
        <v>532.29999999999995</v>
      </c>
      <c r="BU18" s="55">
        <f t="shared" si="25"/>
        <v>-0.71872826626924979</v>
      </c>
      <c r="BV18" s="55">
        <f t="shared" si="25"/>
        <v>-0.29328199681359546</v>
      </c>
      <c r="BW18" s="26"/>
      <c r="BX18" s="26"/>
      <c r="BY18" s="26">
        <f t="shared" si="128"/>
        <v>849.30000000000007</v>
      </c>
      <c r="BZ18" s="26">
        <f t="shared" si="128"/>
        <v>532.29999999999995</v>
      </c>
      <c r="CA18" s="55">
        <f t="shared" si="27"/>
        <v>-0.77842999139078028</v>
      </c>
      <c r="CB18" s="55">
        <f t="shared" si="27"/>
        <v>-0.44325907331869052</v>
      </c>
      <c r="CC18" s="26"/>
      <c r="CD18" s="26"/>
      <c r="CE18" s="26">
        <f t="shared" si="129"/>
        <v>849.30000000000007</v>
      </c>
      <c r="CF18" s="26">
        <f t="shared" si="129"/>
        <v>532.29999999999995</v>
      </c>
      <c r="CG18" s="55">
        <f t="shared" si="29"/>
        <v>-0.80058699225170227</v>
      </c>
      <c r="CH18" s="55">
        <f t="shared" si="29"/>
        <v>-0.49891744328344156</v>
      </c>
      <c r="CI18" s="26"/>
      <c r="CJ18" s="26"/>
      <c r="CK18" s="26">
        <f t="shared" si="130"/>
        <v>849.30000000000007</v>
      </c>
      <c r="CL18" s="26">
        <f t="shared" si="130"/>
        <v>532.29999999999995</v>
      </c>
      <c r="CM18" s="55">
        <f t="shared" si="31"/>
        <v>-0.83783009680930287</v>
      </c>
      <c r="CN18" s="55">
        <f t="shared" si="31"/>
        <v>-0.59251320523616324</v>
      </c>
      <c r="CO18" s="26"/>
      <c r="CP18" s="26"/>
      <c r="CQ18" s="26">
        <f t="shared" si="131"/>
        <v>849.30000000000007</v>
      </c>
      <c r="CR18" s="26">
        <f t="shared" si="131"/>
        <v>532.29999999999995</v>
      </c>
      <c r="CS18" s="55">
        <f t="shared" si="33"/>
        <v>-0.85830121627709088</v>
      </c>
      <c r="CT18" s="55">
        <f t="shared" si="33"/>
        <v>-0.64394648829431445</v>
      </c>
      <c r="CU18" s="26"/>
      <c r="CV18" s="26"/>
      <c r="CW18" s="26">
        <f t="shared" si="132"/>
        <v>849.30000000000007</v>
      </c>
      <c r="CX18" s="26">
        <f t="shared" si="132"/>
        <v>532.29999999999995</v>
      </c>
      <c r="CY18" s="55">
        <f t="shared" si="35"/>
        <v>-0.87164490388103011</v>
      </c>
      <c r="CZ18" s="55">
        <f t="shared" si="35"/>
        <v>-0.6774525843785979</v>
      </c>
      <c r="DA18" s="26"/>
      <c r="DB18" s="26"/>
      <c r="DC18" s="26">
        <f t="shared" si="133"/>
        <v>849.30000000000007</v>
      </c>
      <c r="DD18" s="26">
        <f t="shared" si="133"/>
        <v>532.29999999999995</v>
      </c>
      <c r="DE18" s="55">
        <f t="shared" si="37"/>
        <v>-0.88612381169466758</v>
      </c>
      <c r="DF18" s="55">
        <f t="shared" si="37"/>
        <v>-0.71384797333620043</v>
      </c>
      <c r="DG18" s="26"/>
      <c r="DH18" s="26"/>
      <c r="DI18" s="26">
        <f t="shared" si="134"/>
        <v>849.30000000000007</v>
      </c>
      <c r="DJ18" s="26">
        <f t="shared" si="134"/>
        <v>532.29999999999995</v>
      </c>
      <c r="DK18" s="55">
        <f t="shared" si="39"/>
        <v>-0.89299348612178564</v>
      </c>
      <c r="DL18" s="55">
        <f t="shared" si="39"/>
        <v>-0.73110729440290978</v>
      </c>
      <c r="DM18" s="26"/>
      <c r="DN18" s="26"/>
      <c r="DO18" s="26"/>
      <c r="DP18" s="26"/>
      <c r="DQ18" s="26">
        <v>9159</v>
      </c>
      <c r="DR18" s="26">
        <v>2284</v>
      </c>
      <c r="DS18" s="55">
        <f>IF($AY$18=0,1,DQ18/$AY$18-1)</f>
        <v>-3.275359470689132E-5</v>
      </c>
      <c r="DT18" s="55">
        <f>IF($AZ$18=0,1,DR18/$AZ$18-1)</f>
        <v>-2.1886627270739645E-4</v>
      </c>
      <c r="DU18" s="55">
        <f>IF($E$18=0,1,DQ18/$E$18-1)</f>
        <v>4.1979522184300233E-2</v>
      </c>
      <c r="DV18" s="55">
        <f>IF($E$18=0,1,DR18/$E$18-1)</f>
        <v>-0.74015927189988617</v>
      </c>
      <c r="DW18" s="25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33" t="s">
        <v>39</v>
      </c>
      <c r="B19" s="334"/>
      <c r="C19" s="26">
        <f>'[1]прогноз '!B27</f>
        <v>34256</v>
      </c>
      <c r="D19" s="26">
        <f>'[1]прогноз '!C27</f>
        <v>16756.5</v>
      </c>
      <c r="E19" s="26">
        <f t="shared" si="110"/>
        <v>30734.7</v>
      </c>
      <c r="F19" s="26">
        <f t="shared" si="110"/>
        <v>17528.600000000002</v>
      </c>
      <c r="G19" s="26">
        <v>1722.7</v>
      </c>
      <c r="H19" s="26">
        <v>1282.7</v>
      </c>
      <c r="I19" s="26">
        <f>3554.2-G19</f>
        <v>1831.4999999999998</v>
      </c>
      <c r="J19" s="26">
        <v>746</v>
      </c>
      <c r="K19" s="26">
        <f t="shared" si="111"/>
        <v>3554.2</v>
      </c>
      <c r="L19" s="26">
        <f t="shared" si="111"/>
        <v>2028.7</v>
      </c>
      <c r="M19" s="26">
        <f>6615.8-G19-I19</f>
        <v>3061.6000000000004</v>
      </c>
      <c r="N19" s="26">
        <v>2058.8000000000002</v>
      </c>
      <c r="O19" s="26">
        <f t="shared" si="112"/>
        <v>6615.8</v>
      </c>
      <c r="P19" s="26">
        <f t="shared" si="112"/>
        <v>4087.5</v>
      </c>
      <c r="Q19" s="26">
        <f>9856.3-G19-I19-M19</f>
        <v>3240.4999999999991</v>
      </c>
      <c r="R19" s="26">
        <v>1988.1</v>
      </c>
      <c r="S19" s="26">
        <f t="shared" si="113"/>
        <v>9856.2999999999993</v>
      </c>
      <c r="T19" s="26">
        <f t="shared" si="113"/>
        <v>6075.6</v>
      </c>
      <c r="U19" s="26">
        <f>13409.5-G19-I19-M19-Q19</f>
        <v>3553.2</v>
      </c>
      <c r="V19" s="26">
        <v>2097.6999999999998</v>
      </c>
      <c r="W19" s="26">
        <f t="shared" si="114"/>
        <v>13409.5</v>
      </c>
      <c r="X19" s="26">
        <f t="shared" si="114"/>
        <v>8173.3</v>
      </c>
      <c r="Y19" s="26">
        <f>15867.9-G19-I19-M19-Q19-U19</f>
        <v>2458.3999999999996</v>
      </c>
      <c r="Z19" s="26">
        <v>1229.2</v>
      </c>
      <c r="AA19" s="26">
        <f t="shared" si="115"/>
        <v>15867.9</v>
      </c>
      <c r="AB19" s="26">
        <f t="shared" si="115"/>
        <v>9402.5</v>
      </c>
      <c r="AC19" s="26">
        <f>2959.7-14.5</f>
        <v>2945.2</v>
      </c>
      <c r="AD19" s="26">
        <v>1757.4</v>
      </c>
      <c r="AE19" s="26">
        <f t="shared" si="116"/>
        <v>18813.099999999999</v>
      </c>
      <c r="AF19" s="26">
        <f t="shared" si="116"/>
        <v>11159.9</v>
      </c>
      <c r="AG19" s="26">
        <f>21396.7-G19-I19-M19-Q19-U19-Y19-AC19</f>
        <v>2583.6000000000022</v>
      </c>
      <c r="AH19" s="26">
        <f>12627.4-H19-J19-N19-R19-V19-Z19-AD19</f>
        <v>1467.4999999999977</v>
      </c>
      <c r="AI19" s="26">
        <f t="shared" si="117"/>
        <v>21396.7</v>
      </c>
      <c r="AJ19" s="26">
        <f t="shared" si="117"/>
        <v>12627.399999999998</v>
      </c>
      <c r="AK19" s="26">
        <f>23366.1-G19-I19-M19-Q19-U19-Y19-AC19-AG19</f>
        <v>1969.3999999999933</v>
      </c>
      <c r="AL19" s="23">
        <f>13691.4-H19-J19-N19-R19-V19-Z19-AD19-AH19</f>
        <v>1064</v>
      </c>
      <c r="AM19" s="26">
        <f t="shared" si="118"/>
        <v>23366.099999999995</v>
      </c>
      <c r="AN19" s="26">
        <f t="shared" si="118"/>
        <v>13691.399999999998</v>
      </c>
      <c r="AO19" s="26">
        <f>26501.2-G19-I19-M19-Q19-U19-Y19-AC19-AG19-AK19</f>
        <v>3135.1000000000058</v>
      </c>
      <c r="AP19" s="26">
        <f>15453.5-H19-J19-N19-R19-V19-Z19-AD19-AH19-AL19</f>
        <v>1762.1000000000026</v>
      </c>
      <c r="AQ19" s="26">
        <f t="shared" si="119"/>
        <v>26501.200000000001</v>
      </c>
      <c r="AR19" s="26">
        <f t="shared" si="119"/>
        <v>15453.5</v>
      </c>
      <c r="AS19" s="26">
        <v>1980.8</v>
      </c>
      <c r="AT19" s="26">
        <v>902.7</v>
      </c>
      <c r="AU19" s="26">
        <f t="shared" si="120"/>
        <v>28482</v>
      </c>
      <c r="AV19" s="26">
        <f t="shared" si="120"/>
        <v>16356.2</v>
      </c>
      <c r="AW19" s="26">
        <f>1080.3+AX19</f>
        <v>2252.6999999999998</v>
      </c>
      <c r="AX19" s="26">
        <v>1172.4000000000001</v>
      </c>
      <c r="AY19" s="26">
        <f>41538.6</f>
        <v>41538.6</v>
      </c>
      <c r="AZ19" s="26">
        <v>19766.5</v>
      </c>
      <c r="BA19" s="55">
        <f t="shared" si="109"/>
        <v>0.3515212447168834</v>
      </c>
      <c r="BB19" s="55">
        <f t="shared" si="109"/>
        <v>0.12767134853895912</v>
      </c>
      <c r="BC19" s="26">
        <v>1393.6</v>
      </c>
      <c r="BD19" s="26">
        <v>644.6</v>
      </c>
      <c r="BE19" s="26">
        <v>1960.4</v>
      </c>
      <c r="BF19" s="26">
        <v>1182.9000000000001</v>
      </c>
      <c r="BG19" s="26">
        <f t="shared" si="125"/>
        <v>3354</v>
      </c>
      <c r="BH19" s="26">
        <f t="shared" si="125"/>
        <v>1827.5</v>
      </c>
      <c r="BI19" s="55">
        <f t="shared" si="22"/>
        <v>-5.6327724945135271E-2</v>
      </c>
      <c r="BJ19" s="55">
        <f t="shared" si="22"/>
        <v>-9.9176812737220899E-2</v>
      </c>
      <c r="BK19" s="26">
        <v>2200</v>
      </c>
      <c r="BL19" s="26">
        <v>4134.8999999999996</v>
      </c>
      <c r="BM19" s="26">
        <f t="shared" si="126"/>
        <v>5554</v>
      </c>
      <c r="BN19" s="26">
        <f t="shared" si="126"/>
        <v>5962.4</v>
      </c>
      <c r="BO19" s="55">
        <f t="shared" si="24"/>
        <v>-0.16049457359654162</v>
      </c>
      <c r="BP19" s="55">
        <f t="shared" si="24"/>
        <v>0.45869113149847096</v>
      </c>
      <c r="BQ19" s="26"/>
      <c r="BR19" s="26"/>
      <c r="BS19" s="26">
        <f t="shared" si="127"/>
        <v>5554</v>
      </c>
      <c r="BT19" s="26">
        <f t="shared" si="127"/>
        <v>5962.4</v>
      </c>
      <c r="BU19" s="55">
        <f t="shared" si="25"/>
        <v>-0.43650254152166634</v>
      </c>
      <c r="BV19" s="55">
        <f t="shared" si="25"/>
        <v>-1.8631904667851806E-2</v>
      </c>
      <c r="BW19" s="26"/>
      <c r="BX19" s="26"/>
      <c r="BY19" s="26">
        <f t="shared" si="128"/>
        <v>5554</v>
      </c>
      <c r="BZ19" s="26">
        <f t="shared" si="128"/>
        <v>5962.4</v>
      </c>
      <c r="CA19" s="55">
        <f t="shared" si="27"/>
        <v>-0.58581602595175064</v>
      </c>
      <c r="CB19" s="55">
        <f t="shared" si="27"/>
        <v>-0.27050273451359919</v>
      </c>
      <c r="CC19" s="26"/>
      <c r="CD19" s="26"/>
      <c r="CE19" s="26">
        <f t="shared" si="129"/>
        <v>5554</v>
      </c>
      <c r="CF19" s="26">
        <f t="shared" si="129"/>
        <v>5962.4</v>
      </c>
      <c r="CG19" s="55">
        <f t="shared" si="29"/>
        <v>-0.64998519022681012</v>
      </c>
      <c r="CH19" s="55">
        <f t="shared" si="29"/>
        <v>-0.36587077904812548</v>
      </c>
      <c r="CI19" s="26"/>
      <c r="CJ19" s="26"/>
      <c r="CK19" s="26">
        <f t="shared" si="130"/>
        <v>5554</v>
      </c>
      <c r="CL19" s="26">
        <f t="shared" si="130"/>
        <v>5962.4</v>
      </c>
      <c r="CM19" s="55">
        <f t="shared" si="31"/>
        <v>-0.70478017976835283</v>
      </c>
      <c r="CN19" s="55">
        <f t="shared" si="31"/>
        <v>-0.46572997965931595</v>
      </c>
      <c r="CO19" s="26"/>
      <c r="CP19" s="26"/>
      <c r="CQ19" s="26">
        <f t="shared" si="131"/>
        <v>5554</v>
      </c>
      <c r="CR19" s="26">
        <f t="shared" si="131"/>
        <v>5962.4</v>
      </c>
      <c r="CS19" s="55">
        <f t="shared" si="33"/>
        <v>-0.74042726214790133</v>
      </c>
      <c r="CT19" s="55">
        <f t="shared" si="33"/>
        <v>-0.52782045393350963</v>
      </c>
      <c r="CU19" s="26"/>
      <c r="CV19" s="26"/>
      <c r="CW19" s="26">
        <f t="shared" si="132"/>
        <v>5554</v>
      </c>
      <c r="CX19" s="26">
        <f t="shared" si="132"/>
        <v>5962.4</v>
      </c>
      <c r="CY19" s="55">
        <f t="shared" si="35"/>
        <v>-0.76230521995540546</v>
      </c>
      <c r="CZ19" s="55">
        <f t="shared" si="35"/>
        <v>-0.56451495099113314</v>
      </c>
      <c r="DA19" s="26"/>
      <c r="DB19" s="26"/>
      <c r="DC19" s="26">
        <f t="shared" si="133"/>
        <v>5554</v>
      </c>
      <c r="DD19" s="26">
        <f t="shared" si="133"/>
        <v>5962.4</v>
      </c>
      <c r="DE19" s="55">
        <f t="shared" si="37"/>
        <v>-0.79042458454711484</v>
      </c>
      <c r="DF19" s="55">
        <f t="shared" si="37"/>
        <v>-0.61417154689876075</v>
      </c>
      <c r="DG19" s="26"/>
      <c r="DH19" s="26"/>
      <c r="DI19" s="26">
        <f t="shared" si="134"/>
        <v>5554</v>
      </c>
      <c r="DJ19" s="26">
        <f t="shared" si="134"/>
        <v>5962.4</v>
      </c>
      <c r="DK19" s="55">
        <f t="shared" si="39"/>
        <v>-0.80499964890106035</v>
      </c>
      <c r="DL19" s="55">
        <f t="shared" si="39"/>
        <v>-0.63546545041024205</v>
      </c>
      <c r="DM19" s="26"/>
      <c r="DN19" s="26"/>
      <c r="DO19" s="26"/>
      <c r="DP19" s="26"/>
      <c r="DQ19" s="26">
        <v>41538</v>
      </c>
      <c r="DR19" s="26">
        <v>19766.5</v>
      </c>
      <c r="DS19" s="55">
        <f>IF($AY$19=0,1,DQ19/$AY$19-1)</f>
        <v>-1.4444396296386941E-5</v>
      </c>
      <c r="DT19" s="55">
        <f>IF($AZ$19=0,1,DR19/$AZ$19-1)</f>
        <v>0</v>
      </c>
      <c r="DU19" s="55">
        <f>IF($E$19=0,1,DQ19/$E$19-1)</f>
        <v>0.35150172280842162</v>
      </c>
      <c r="DV19" s="55">
        <f>IF($E$19=0,1,DR19/$E$19-1)</f>
        <v>-0.35686699398399857</v>
      </c>
      <c r="DW19" s="25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33" t="s">
        <v>40</v>
      </c>
      <c r="B20" s="334"/>
      <c r="C20" s="26">
        <f>'[1]прогноз '!B28</f>
        <v>1482.4</v>
      </c>
      <c r="D20" s="26">
        <f>'[1]прогноз '!C28</f>
        <v>1481.9499999999998</v>
      </c>
      <c r="E20" s="26">
        <f t="shared" si="110"/>
        <v>1839.8000000000002</v>
      </c>
      <c r="F20" s="26">
        <f t="shared" si="110"/>
        <v>1839.8000000000002</v>
      </c>
      <c r="G20" s="26">
        <v>302.10000000000002</v>
      </c>
      <c r="H20" s="26">
        <v>302.10000000000002</v>
      </c>
      <c r="I20" s="26">
        <f>334.2-G20</f>
        <v>32.099999999999966</v>
      </c>
      <c r="J20" s="26">
        <v>32.1</v>
      </c>
      <c r="K20" s="26">
        <f t="shared" si="111"/>
        <v>334.2</v>
      </c>
      <c r="L20" s="26">
        <f t="shared" si="111"/>
        <v>334.20000000000005</v>
      </c>
      <c r="M20" s="26">
        <f>342.3-G20-I20</f>
        <v>8.1000000000000227</v>
      </c>
      <c r="N20" s="26">
        <v>8.1</v>
      </c>
      <c r="O20" s="26">
        <f t="shared" si="112"/>
        <v>342.3</v>
      </c>
      <c r="P20" s="26">
        <f t="shared" si="112"/>
        <v>342.30000000000007</v>
      </c>
      <c r="Q20" s="26">
        <f>581.1-G20-I20-M20</f>
        <v>238.8</v>
      </c>
      <c r="R20" s="26">
        <v>241.8</v>
      </c>
      <c r="S20" s="26">
        <f t="shared" si="113"/>
        <v>581.1</v>
      </c>
      <c r="T20" s="26">
        <f t="shared" si="113"/>
        <v>584.10000000000014</v>
      </c>
      <c r="U20" s="26">
        <f>587.5-G20-I20-M20-Q20</f>
        <v>6.3999999999999773</v>
      </c>
      <c r="V20" s="26">
        <v>3.4</v>
      </c>
      <c r="W20" s="26">
        <f t="shared" si="114"/>
        <v>587.5</v>
      </c>
      <c r="X20" s="26">
        <f t="shared" si="114"/>
        <v>587.50000000000011</v>
      </c>
      <c r="Y20" s="26">
        <f>590.7-G20-I20-M20-Q20-U20</f>
        <v>3.2000000000000455</v>
      </c>
      <c r="Z20" s="26">
        <v>3.2</v>
      </c>
      <c r="AA20" s="26">
        <f t="shared" si="115"/>
        <v>590.70000000000005</v>
      </c>
      <c r="AB20" s="26">
        <f t="shared" si="115"/>
        <v>590.70000000000016</v>
      </c>
      <c r="AC20" s="26">
        <v>492.2</v>
      </c>
      <c r="AD20" s="26">
        <v>492.2</v>
      </c>
      <c r="AE20" s="26">
        <f t="shared" si="116"/>
        <v>1082.9000000000001</v>
      </c>
      <c r="AF20" s="26">
        <f t="shared" si="116"/>
        <v>1082.9000000000001</v>
      </c>
      <c r="AG20" s="26">
        <f>1089-G20-I20-M20-Q20-U20-Y20-AC20</f>
        <v>6.0999999999999091</v>
      </c>
      <c r="AH20" s="26">
        <f>1089-H20-J20-N20-R20-V20-Z20-AD20</f>
        <v>6.0999999999999659</v>
      </c>
      <c r="AI20" s="26">
        <f t="shared" si="117"/>
        <v>1089</v>
      </c>
      <c r="AJ20" s="26">
        <f t="shared" si="117"/>
        <v>1089</v>
      </c>
      <c r="AK20" s="26">
        <f>1095.1-G20-I20-M20-Q20-U20-Y20-AC20-AG20</f>
        <v>6.0999999999998522</v>
      </c>
      <c r="AL20" s="23">
        <v>6</v>
      </c>
      <c r="AM20" s="26">
        <f t="shared" si="118"/>
        <v>1095.0999999999999</v>
      </c>
      <c r="AN20" s="26">
        <f t="shared" si="118"/>
        <v>1095</v>
      </c>
      <c r="AO20" s="26">
        <f>1518.2-G20-I20-M20-Q20-U20-Y20-AC20-AG20-AK20</f>
        <v>423.10000000000036</v>
      </c>
      <c r="AP20" s="26">
        <f>1518.2-H20-J20-N20-R20-V20-Z20-AD20-AH20-AL20</f>
        <v>423.20000000000016</v>
      </c>
      <c r="AQ20" s="26">
        <f t="shared" si="119"/>
        <v>1518.2000000000003</v>
      </c>
      <c r="AR20" s="26">
        <f t="shared" si="119"/>
        <v>1518.2000000000003</v>
      </c>
      <c r="AS20" s="26">
        <v>137</v>
      </c>
      <c r="AT20" s="26">
        <v>137</v>
      </c>
      <c r="AU20" s="26">
        <f t="shared" si="120"/>
        <v>1655.2000000000003</v>
      </c>
      <c r="AV20" s="26">
        <f t="shared" si="120"/>
        <v>1655.2000000000003</v>
      </c>
      <c r="AW20" s="26">
        <f>0+AX20</f>
        <v>184.6</v>
      </c>
      <c r="AX20" s="26">
        <v>184.6</v>
      </c>
      <c r="AY20" s="26">
        <v>385</v>
      </c>
      <c r="AZ20" s="26">
        <v>385</v>
      </c>
      <c r="BA20" s="55">
        <f t="shared" si="109"/>
        <v>-0.79073812370909879</v>
      </c>
      <c r="BB20" s="55">
        <f t="shared" si="109"/>
        <v>-0.79073812370909879</v>
      </c>
      <c r="BC20" s="26">
        <v>219.1</v>
      </c>
      <c r="BD20" s="26">
        <v>219.1</v>
      </c>
      <c r="BE20" s="26">
        <v>257.89999999999998</v>
      </c>
      <c r="BF20" s="26">
        <v>257.89999999999998</v>
      </c>
      <c r="BG20" s="26">
        <f t="shared" si="125"/>
        <v>477</v>
      </c>
      <c r="BH20" s="26">
        <f t="shared" si="125"/>
        <v>477</v>
      </c>
      <c r="BI20" s="55">
        <f t="shared" si="22"/>
        <v>0.42728904847396776</v>
      </c>
      <c r="BJ20" s="55">
        <f t="shared" si="22"/>
        <v>0.42728904847396754</v>
      </c>
      <c r="BK20" s="26">
        <v>0</v>
      </c>
      <c r="BL20" s="26">
        <v>4</v>
      </c>
      <c r="BM20" s="26">
        <f t="shared" si="126"/>
        <v>477</v>
      </c>
      <c r="BN20" s="26">
        <f t="shared" si="126"/>
        <v>481</v>
      </c>
      <c r="BO20" s="55">
        <f t="shared" si="24"/>
        <v>0.39351446099912346</v>
      </c>
      <c r="BP20" s="55">
        <f t="shared" si="24"/>
        <v>0.40520011685655821</v>
      </c>
      <c r="BQ20" s="26"/>
      <c r="BR20" s="26"/>
      <c r="BS20" s="26">
        <f t="shared" si="127"/>
        <v>477</v>
      </c>
      <c r="BT20" s="26">
        <f t="shared" si="127"/>
        <v>481</v>
      </c>
      <c r="BU20" s="55">
        <f t="shared" si="25"/>
        <v>-0.17914300464636035</v>
      </c>
      <c r="BV20" s="55">
        <f t="shared" si="25"/>
        <v>-0.17651087142612587</v>
      </c>
      <c r="BW20" s="26"/>
      <c r="BX20" s="26"/>
      <c r="BY20" s="26">
        <f t="shared" si="128"/>
        <v>477</v>
      </c>
      <c r="BZ20" s="26">
        <f t="shared" si="128"/>
        <v>481</v>
      </c>
      <c r="CA20" s="55">
        <f t="shared" si="27"/>
        <v>-0.18808510638297871</v>
      </c>
      <c r="CB20" s="55">
        <f t="shared" si="27"/>
        <v>-0.18127659574468102</v>
      </c>
      <c r="CC20" s="26"/>
      <c r="CD20" s="26"/>
      <c r="CE20" s="26">
        <f t="shared" si="129"/>
        <v>477</v>
      </c>
      <c r="CF20" s="26">
        <f t="shared" si="129"/>
        <v>481</v>
      </c>
      <c r="CG20" s="55">
        <f t="shared" si="29"/>
        <v>-0.19248349415947186</v>
      </c>
      <c r="CH20" s="55">
        <f t="shared" si="29"/>
        <v>-0.18571186727611333</v>
      </c>
      <c r="CI20" s="26"/>
      <c r="CJ20" s="26"/>
      <c r="CK20" s="26">
        <f t="shared" si="130"/>
        <v>477</v>
      </c>
      <c r="CL20" s="26">
        <f t="shared" si="130"/>
        <v>481</v>
      </c>
      <c r="CM20" s="55">
        <f t="shared" si="31"/>
        <v>-0.55951611413796298</v>
      </c>
      <c r="CN20" s="55">
        <f t="shared" si="31"/>
        <v>-0.55582232893157268</v>
      </c>
      <c r="CO20" s="26"/>
      <c r="CP20" s="26"/>
      <c r="CQ20" s="26">
        <f t="shared" si="131"/>
        <v>477</v>
      </c>
      <c r="CR20" s="26">
        <f t="shared" si="131"/>
        <v>481</v>
      </c>
      <c r="CS20" s="55">
        <f t="shared" si="33"/>
        <v>-0.56198347107438018</v>
      </c>
      <c r="CT20" s="55">
        <f t="shared" si="33"/>
        <v>-0.55831037649219462</v>
      </c>
      <c r="CU20" s="26"/>
      <c r="CV20" s="26"/>
      <c r="CW20" s="26">
        <f t="shared" si="132"/>
        <v>477</v>
      </c>
      <c r="CX20" s="26">
        <f t="shared" si="132"/>
        <v>481</v>
      </c>
      <c r="CY20" s="55">
        <f t="shared" si="35"/>
        <v>-0.56442334033421604</v>
      </c>
      <c r="CZ20" s="55">
        <f t="shared" si="35"/>
        <v>-0.56073059360730593</v>
      </c>
      <c r="DA20" s="26"/>
      <c r="DB20" s="26"/>
      <c r="DC20" s="26">
        <f t="shared" si="133"/>
        <v>477</v>
      </c>
      <c r="DD20" s="26">
        <f t="shared" si="133"/>
        <v>481</v>
      </c>
      <c r="DE20" s="55">
        <f t="shared" si="37"/>
        <v>-0.68581214596232387</v>
      </c>
      <c r="DF20" s="55">
        <f t="shared" si="37"/>
        <v>-0.68317744697668292</v>
      </c>
      <c r="DG20" s="26"/>
      <c r="DH20" s="26"/>
      <c r="DI20" s="26">
        <f t="shared" si="134"/>
        <v>477</v>
      </c>
      <c r="DJ20" s="26">
        <f t="shared" si="134"/>
        <v>481</v>
      </c>
      <c r="DK20" s="55">
        <f t="shared" si="39"/>
        <v>-0.71181730304494928</v>
      </c>
      <c r="DL20" s="55">
        <f t="shared" si="39"/>
        <v>-0.70940067665538908</v>
      </c>
      <c r="DM20" s="26"/>
      <c r="DN20" s="26"/>
      <c r="DO20" s="26"/>
      <c r="DP20" s="26"/>
      <c r="DQ20" s="26">
        <v>480</v>
      </c>
      <c r="DR20" s="26">
        <v>480</v>
      </c>
      <c r="DS20" s="55">
        <f>IF($AY$20=0,1,DQ20/$AY$20-1)</f>
        <v>0.24675324675324672</v>
      </c>
      <c r="DT20" s="55">
        <f>IF($AZ$20=0,1,DR20/$AZ$20-1)</f>
        <v>0.24675324675324672</v>
      </c>
      <c r="DU20" s="55">
        <f>IF($E$20=0,1,DQ20/$E$20-1)</f>
        <v>-0.73910207631264269</v>
      </c>
      <c r="DV20" s="55">
        <f>IF($E$20=0,1,DR20/$E$20-1)</f>
        <v>-0.73910207631264269</v>
      </c>
      <c r="DW20" s="25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333" t="s">
        <v>41</v>
      </c>
      <c r="B21" s="334"/>
      <c r="C21" s="26">
        <f>'[1]прогноз '!B29</f>
        <v>37654.800000000003</v>
      </c>
      <c r="D21" s="26">
        <f>'[1]прогноз '!C29</f>
        <v>37153.4</v>
      </c>
      <c r="E21" s="26">
        <f t="shared" si="110"/>
        <v>39433.5</v>
      </c>
      <c r="F21" s="26">
        <f t="shared" si="110"/>
        <v>38793.400000000009</v>
      </c>
      <c r="G21" s="26">
        <v>2001.4</v>
      </c>
      <c r="H21" s="26">
        <v>1988.6</v>
      </c>
      <c r="I21" s="26">
        <f>5294.5-G21</f>
        <v>3293.1</v>
      </c>
      <c r="J21" s="26">
        <v>3235</v>
      </c>
      <c r="K21" s="26">
        <f t="shared" si="111"/>
        <v>5294.5</v>
      </c>
      <c r="L21" s="26">
        <f t="shared" si="111"/>
        <v>5223.6000000000004</v>
      </c>
      <c r="M21" s="26">
        <f>9481.7-G21-I21</f>
        <v>4187.2000000000007</v>
      </c>
      <c r="N21" s="26">
        <v>4133.3999999999996</v>
      </c>
      <c r="O21" s="26">
        <f t="shared" si="112"/>
        <v>9481.7000000000007</v>
      </c>
      <c r="P21" s="26">
        <f t="shared" si="112"/>
        <v>9357</v>
      </c>
      <c r="Q21" s="26">
        <f>13492-G21-I21-M21</f>
        <v>4010.2999999999993</v>
      </c>
      <c r="R21" s="26">
        <v>3968.2</v>
      </c>
      <c r="S21" s="26">
        <f t="shared" si="113"/>
        <v>13492</v>
      </c>
      <c r="T21" s="26">
        <f t="shared" si="113"/>
        <v>13325.2</v>
      </c>
      <c r="U21" s="26">
        <f>16813.1-G21-I21-M21-Q21</f>
        <v>3321.0999999999985</v>
      </c>
      <c r="V21" s="26">
        <v>3291.4</v>
      </c>
      <c r="W21" s="26">
        <f t="shared" si="114"/>
        <v>16813.099999999999</v>
      </c>
      <c r="X21" s="26">
        <f t="shared" si="114"/>
        <v>16616.600000000002</v>
      </c>
      <c r="Y21" s="26">
        <f>19901.3-G21-I21-M21-Q21-U21</f>
        <v>3088.1999999999989</v>
      </c>
      <c r="Z21" s="26">
        <v>3079</v>
      </c>
      <c r="AA21" s="26">
        <f t="shared" si="115"/>
        <v>19901.299999999996</v>
      </c>
      <c r="AB21" s="26">
        <f t="shared" si="115"/>
        <v>19695.600000000002</v>
      </c>
      <c r="AC21" s="26">
        <v>2482.6999999999998</v>
      </c>
      <c r="AD21" s="26">
        <v>2375.4</v>
      </c>
      <c r="AE21" s="26">
        <f t="shared" si="116"/>
        <v>22383.999999999996</v>
      </c>
      <c r="AF21" s="26">
        <f t="shared" si="116"/>
        <v>22071.000000000004</v>
      </c>
      <c r="AG21" s="26">
        <f>24246.1-G21-I21-M21-Q21-U21-Y21-AC21</f>
        <v>1862.1000000000013</v>
      </c>
      <c r="AH21" s="26">
        <f>23901.4-H21-J21-N21-R21-V21-Z21-AD21</f>
        <v>1830.4000000000046</v>
      </c>
      <c r="AI21" s="26">
        <f t="shared" si="117"/>
        <v>24246.1</v>
      </c>
      <c r="AJ21" s="26">
        <f t="shared" si="117"/>
        <v>23901.400000000009</v>
      </c>
      <c r="AK21" s="26">
        <f>27274.7-G21-I21-M21-Q21-U21-Y21-AC21-AG21</f>
        <v>3028.6000000000022</v>
      </c>
      <c r="AL21" s="23">
        <f>26901.5-H21-J21-N21-R21-V21-Z21-AD21-AH21</f>
        <v>3000.0999999999954</v>
      </c>
      <c r="AM21" s="26">
        <f t="shared" si="118"/>
        <v>27274.7</v>
      </c>
      <c r="AN21" s="26">
        <f t="shared" si="118"/>
        <v>26901.500000000004</v>
      </c>
      <c r="AO21" s="26">
        <f>31304.4-G21-I21-M21-Q21-U21-Y21-AC21-AG21-AK21</f>
        <v>4029.7000000000016</v>
      </c>
      <c r="AP21" s="26">
        <f>30849.7-H21-J21-N21-R21-V21-Z21-AD21-AH21-AL21</f>
        <v>3948.2000000000039</v>
      </c>
      <c r="AQ21" s="26">
        <f t="shared" si="119"/>
        <v>31304.400000000001</v>
      </c>
      <c r="AR21" s="26">
        <f t="shared" si="119"/>
        <v>30849.700000000008</v>
      </c>
      <c r="AS21" s="26">
        <v>3230.9</v>
      </c>
      <c r="AT21" s="26">
        <v>3161.6</v>
      </c>
      <c r="AU21" s="26">
        <f t="shared" si="120"/>
        <v>34535.300000000003</v>
      </c>
      <c r="AV21" s="26">
        <f t="shared" si="120"/>
        <v>34011.30000000001</v>
      </c>
      <c r="AW21" s="26">
        <f>116.1+AX21</f>
        <v>4898.2000000000007</v>
      </c>
      <c r="AX21" s="26">
        <v>4782.1000000000004</v>
      </c>
      <c r="AY21" s="26">
        <v>42918.6</v>
      </c>
      <c r="AZ21" s="26">
        <v>42412</v>
      </c>
      <c r="BA21" s="55">
        <f t="shared" si="109"/>
        <v>8.8379169995054907E-2</v>
      </c>
      <c r="BB21" s="55">
        <f t="shared" si="109"/>
        <v>9.3278753602416664E-2</v>
      </c>
      <c r="BC21" s="26">
        <v>2327.3000000000002</v>
      </c>
      <c r="BD21" s="26">
        <v>2321.6</v>
      </c>
      <c r="BE21" s="26">
        <v>3283.2</v>
      </c>
      <c r="BF21" s="26">
        <v>3163.8</v>
      </c>
      <c r="BG21" s="26">
        <f t="shared" si="125"/>
        <v>5610.5</v>
      </c>
      <c r="BH21" s="26">
        <f t="shared" si="125"/>
        <v>5485.4</v>
      </c>
      <c r="BI21" s="55">
        <f t="shared" si="22"/>
        <v>5.9684578336009153E-2</v>
      </c>
      <c r="BJ21" s="55">
        <f t="shared" si="22"/>
        <v>5.0118692089746286E-2</v>
      </c>
      <c r="BK21" s="26">
        <v>3990</v>
      </c>
      <c r="BL21" s="26">
        <v>3675.2</v>
      </c>
      <c r="BM21" s="26">
        <f t="shared" si="126"/>
        <v>9600.5</v>
      </c>
      <c r="BN21" s="26">
        <f t="shared" si="126"/>
        <v>9160.5999999999985</v>
      </c>
      <c r="BO21" s="55">
        <f t="shared" si="24"/>
        <v>1.2529398736513375E-2</v>
      </c>
      <c r="BP21" s="55">
        <f t="shared" si="24"/>
        <v>-2.0989633429518206E-2</v>
      </c>
      <c r="BQ21" s="26"/>
      <c r="BR21" s="26"/>
      <c r="BS21" s="26">
        <f t="shared" si="127"/>
        <v>9600.5</v>
      </c>
      <c r="BT21" s="26">
        <f t="shared" si="127"/>
        <v>9160.5999999999985</v>
      </c>
      <c r="BU21" s="55">
        <f t="shared" si="25"/>
        <v>-0.28843018084790983</v>
      </c>
      <c r="BV21" s="55">
        <f t="shared" si="25"/>
        <v>-0.31253564674451428</v>
      </c>
      <c r="BW21" s="26"/>
      <c r="BX21" s="26"/>
      <c r="BY21" s="26">
        <f t="shared" si="128"/>
        <v>9600.5</v>
      </c>
      <c r="BZ21" s="26">
        <f t="shared" si="128"/>
        <v>9160.5999999999985</v>
      </c>
      <c r="CA21" s="55">
        <f t="shared" si="27"/>
        <v>-0.42898692091285962</v>
      </c>
      <c r="CB21" s="55">
        <f t="shared" si="27"/>
        <v>-0.44870791858743686</v>
      </c>
      <c r="CC21" s="26"/>
      <c r="CD21" s="26"/>
      <c r="CE21" s="26">
        <f t="shared" si="129"/>
        <v>9600.5</v>
      </c>
      <c r="CF21" s="26">
        <f t="shared" si="129"/>
        <v>9160.5999999999985</v>
      </c>
      <c r="CG21" s="55">
        <f t="shared" si="29"/>
        <v>-0.51759432800872296</v>
      </c>
      <c r="CH21" s="55">
        <f t="shared" si="29"/>
        <v>-0.53489104165397361</v>
      </c>
      <c r="CI21" s="26"/>
      <c r="CJ21" s="26"/>
      <c r="CK21" s="26">
        <f t="shared" si="130"/>
        <v>9600.5</v>
      </c>
      <c r="CL21" s="26">
        <f t="shared" si="130"/>
        <v>9160.5999999999985</v>
      </c>
      <c r="CM21" s="55">
        <f t="shared" si="31"/>
        <v>-0.57109989278055751</v>
      </c>
      <c r="CN21" s="55">
        <f t="shared" si="31"/>
        <v>-0.5849485750532375</v>
      </c>
      <c r="CO21" s="26"/>
      <c r="CP21" s="26"/>
      <c r="CQ21" s="26">
        <f t="shared" si="131"/>
        <v>9600.5</v>
      </c>
      <c r="CR21" s="26">
        <f t="shared" si="131"/>
        <v>9160.5999999999985</v>
      </c>
      <c r="CS21" s="55">
        <f t="shared" si="33"/>
        <v>-0.604039412524076</v>
      </c>
      <c r="CT21" s="55">
        <f t="shared" si="33"/>
        <v>-0.61673374781393586</v>
      </c>
      <c r="CU21" s="26"/>
      <c r="CV21" s="26"/>
      <c r="CW21" s="26">
        <f t="shared" si="132"/>
        <v>9600.5</v>
      </c>
      <c r="CX21" s="26">
        <f t="shared" si="132"/>
        <v>9160.5999999999985</v>
      </c>
      <c r="CY21" s="55">
        <f t="shared" si="35"/>
        <v>-0.64800712748444522</v>
      </c>
      <c r="CZ21" s="55">
        <f t="shared" si="35"/>
        <v>-0.65947623738453254</v>
      </c>
      <c r="DA21" s="26"/>
      <c r="DB21" s="26"/>
      <c r="DC21" s="26">
        <f t="shared" si="133"/>
        <v>9600.5</v>
      </c>
      <c r="DD21" s="26">
        <f t="shared" si="133"/>
        <v>9160.5999999999985</v>
      </c>
      <c r="DE21" s="55">
        <f t="shared" si="37"/>
        <v>-0.69331787224799069</v>
      </c>
      <c r="DF21" s="55">
        <f t="shared" si="37"/>
        <v>-0.70305707997160438</v>
      </c>
      <c r="DG21" s="26"/>
      <c r="DH21" s="26"/>
      <c r="DI21" s="26">
        <f t="shared" si="134"/>
        <v>9600.5</v>
      </c>
      <c r="DJ21" s="26">
        <f t="shared" si="134"/>
        <v>9160.5999999999985</v>
      </c>
      <c r="DK21" s="55">
        <f t="shared" si="39"/>
        <v>-0.72200907477276877</v>
      </c>
      <c r="DL21" s="55">
        <f t="shared" si="39"/>
        <v>-0.73066010414185878</v>
      </c>
      <c r="DM21" s="26"/>
      <c r="DN21" s="26"/>
      <c r="DO21" s="26"/>
      <c r="DP21" s="26"/>
      <c r="DQ21" s="26">
        <v>42918.6</v>
      </c>
      <c r="DR21" s="26">
        <v>42412.6</v>
      </c>
      <c r="DS21" s="55">
        <f>IF($AY$21=0,1,DQ21/$AY$21-1)</f>
        <v>0</v>
      </c>
      <c r="DT21" s="55">
        <f>IF($AZ$21=0,1,DR21/$AZ$21-1)</f>
        <v>1.4146939545378601E-5</v>
      </c>
      <c r="DU21" s="55">
        <f>IF($E$21=0,1,DQ21/$E$21-1)</f>
        <v>8.8379169995054907E-2</v>
      </c>
      <c r="DV21" s="55">
        <f>IF($E$21=0,1,DR21/$E$21-1)</f>
        <v>7.5547440627892426E-2</v>
      </c>
      <c r="DW21" s="25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33" t="s">
        <v>89</v>
      </c>
      <c r="B22" s="334"/>
      <c r="C22" s="26">
        <f>'[1]прогноз '!B30</f>
        <v>37170.699999999997</v>
      </c>
      <c r="D22" s="26">
        <f>'[1]прогноз '!C30</f>
        <v>25724.100000000002</v>
      </c>
      <c r="E22" s="26">
        <f t="shared" si="110"/>
        <v>51579.199999999997</v>
      </c>
      <c r="F22" s="26">
        <f t="shared" si="110"/>
        <v>47919.200000000004</v>
      </c>
      <c r="G22" s="26">
        <v>650.20000000000005</v>
      </c>
      <c r="H22" s="26">
        <v>525.20000000000005</v>
      </c>
      <c r="I22" s="26">
        <f>26524.5-G22</f>
        <v>25874.3</v>
      </c>
      <c r="J22" s="26">
        <v>25391.3</v>
      </c>
      <c r="K22" s="26">
        <f t="shared" si="111"/>
        <v>26524.5</v>
      </c>
      <c r="L22" s="26">
        <f t="shared" si="111"/>
        <v>25916.5</v>
      </c>
      <c r="M22" s="26">
        <f>29122.9-G22-I22</f>
        <v>2598.4000000000015</v>
      </c>
      <c r="N22" s="26">
        <v>2088</v>
      </c>
      <c r="O22" s="26">
        <f t="shared" si="112"/>
        <v>29122.9</v>
      </c>
      <c r="P22" s="26">
        <f t="shared" si="112"/>
        <v>28004.5</v>
      </c>
      <c r="Q22" s="26">
        <f>31670.3-G22-I22-M22</f>
        <v>2547.3999999999978</v>
      </c>
      <c r="R22" s="26">
        <v>2205.9</v>
      </c>
      <c r="S22" s="26">
        <f t="shared" si="113"/>
        <v>31670.3</v>
      </c>
      <c r="T22" s="26">
        <f t="shared" si="113"/>
        <v>30210.400000000001</v>
      </c>
      <c r="U22" s="26">
        <f>32493.4-G22-I22-M22-Q22</f>
        <v>823.10000000000218</v>
      </c>
      <c r="V22" s="26">
        <v>706.8</v>
      </c>
      <c r="W22" s="26">
        <f t="shared" si="114"/>
        <v>32493.4</v>
      </c>
      <c r="X22" s="26">
        <f t="shared" si="114"/>
        <v>30917.200000000001</v>
      </c>
      <c r="Y22" s="26">
        <f>34280.5-G22-I22-M22-Q22-U22</f>
        <v>1787.1000000000022</v>
      </c>
      <c r="Z22" s="26">
        <v>1716.5</v>
      </c>
      <c r="AA22" s="26">
        <f t="shared" si="115"/>
        <v>34280.5</v>
      </c>
      <c r="AB22" s="26">
        <f t="shared" si="115"/>
        <v>32633.7</v>
      </c>
      <c r="AC22" s="26">
        <v>4658.1000000000004</v>
      </c>
      <c r="AD22" s="26">
        <v>4560</v>
      </c>
      <c r="AE22" s="26">
        <f t="shared" si="116"/>
        <v>38938.6</v>
      </c>
      <c r="AF22" s="26">
        <f t="shared" si="116"/>
        <v>37193.699999999997</v>
      </c>
      <c r="AG22" s="26">
        <f>40288.1-G22-I22-M22-Q22-U22-Y22-AC22</f>
        <v>1349.4999999999982</v>
      </c>
      <c r="AH22" s="26">
        <f>38221.2-H22-J22-N22-R22-V22-Z22-AD22</f>
        <v>1027.5000000000009</v>
      </c>
      <c r="AI22" s="26">
        <f t="shared" si="117"/>
        <v>40288.1</v>
      </c>
      <c r="AJ22" s="26">
        <f t="shared" si="117"/>
        <v>38221.199999999997</v>
      </c>
      <c r="AK22" s="26">
        <f>46565.1-G22-I22-M22-Q22-U22-Y22-AC22-AG22</f>
        <v>6277</v>
      </c>
      <c r="AL22" s="23">
        <f>44159-H22-J22-N22-R22-V22-Z22-AD22-AH22</f>
        <v>5937.8000000000038</v>
      </c>
      <c r="AM22" s="26">
        <f t="shared" si="118"/>
        <v>46565.1</v>
      </c>
      <c r="AN22" s="26">
        <f t="shared" si="118"/>
        <v>44159</v>
      </c>
      <c r="AO22" s="26">
        <f>47900.7-G22-I22-M22-Q22-U22-Y22-AC22-AG22-AK22</f>
        <v>1335.5999999999985</v>
      </c>
      <c r="AP22" s="26">
        <f>45200.8-H22-J22-N22-R22-V22-Z22-AD22-AH22-AL22</f>
        <v>1041.8000000000029</v>
      </c>
      <c r="AQ22" s="26">
        <f t="shared" si="119"/>
        <v>47900.7</v>
      </c>
      <c r="AR22" s="26">
        <f t="shared" si="119"/>
        <v>45200.800000000003</v>
      </c>
      <c r="AS22" s="26">
        <v>1896.7</v>
      </c>
      <c r="AT22" s="26">
        <v>1575.4</v>
      </c>
      <c r="AU22" s="26">
        <f t="shared" si="120"/>
        <v>49797.399999999994</v>
      </c>
      <c r="AV22" s="26">
        <f t="shared" si="120"/>
        <v>46776.200000000004</v>
      </c>
      <c r="AW22" s="26">
        <f>638.8+AX22</f>
        <v>1781.8</v>
      </c>
      <c r="AX22" s="26">
        <v>1143</v>
      </c>
      <c r="AY22" s="26">
        <v>76160</v>
      </c>
      <c r="AZ22" s="26">
        <v>68600</v>
      </c>
      <c r="BA22" s="55">
        <f t="shared" si="109"/>
        <v>0.47656419642026249</v>
      </c>
      <c r="BB22" s="55">
        <f t="shared" si="109"/>
        <v>0.43157648708659568</v>
      </c>
      <c r="BC22" s="26">
        <v>170.8</v>
      </c>
      <c r="BD22" s="26">
        <v>119.2</v>
      </c>
      <c r="BE22" s="26">
        <v>7778.3</v>
      </c>
      <c r="BF22" s="26">
        <v>6555.1</v>
      </c>
      <c r="BG22" s="26">
        <f t="shared" si="125"/>
        <v>7949.1</v>
      </c>
      <c r="BH22" s="26">
        <f t="shared" si="125"/>
        <v>6674.3</v>
      </c>
      <c r="BI22" s="55">
        <f t="shared" si="22"/>
        <v>-0.70031103319572474</v>
      </c>
      <c r="BJ22" s="55">
        <f t="shared" si="22"/>
        <v>-0.74246908340246565</v>
      </c>
      <c r="BK22" s="26">
        <v>1101.7</v>
      </c>
      <c r="BL22" s="26">
        <v>649</v>
      </c>
      <c r="BM22" s="26">
        <f t="shared" si="126"/>
        <v>9050.8000000000011</v>
      </c>
      <c r="BN22" s="26">
        <f t="shared" si="126"/>
        <v>7323.3</v>
      </c>
      <c r="BO22" s="55">
        <f t="shared" si="24"/>
        <v>-0.68922051032005738</v>
      </c>
      <c r="BP22" s="55">
        <f t="shared" si="24"/>
        <v>-0.73849559892160188</v>
      </c>
      <c r="BQ22" s="26"/>
      <c r="BR22" s="26"/>
      <c r="BS22" s="26">
        <f t="shared" si="127"/>
        <v>9050.8000000000011</v>
      </c>
      <c r="BT22" s="26">
        <f t="shared" si="127"/>
        <v>7323.3</v>
      </c>
      <c r="BU22" s="55">
        <f t="shared" si="25"/>
        <v>-0.71421805287603846</v>
      </c>
      <c r="BV22" s="55">
        <f t="shared" si="25"/>
        <v>-0.75759010142202687</v>
      </c>
      <c r="BW22" s="26"/>
      <c r="BX22" s="26"/>
      <c r="BY22" s="26">
        <f t="shared" si="128"/>
        <v>9050.8000000000011</v>
      </c>
      <c r="BZ22" s="26">
        <f t="shared" si="128"/>
        <v>7323.3</v>
      </c>
      <c r="CA22" s="55">
        <f t="shared" si="27"/>
        <v>-0.72145728055543579</v>
      </c>
      <c r="CB22" s="55">
        <f t="shared" si="27"/>
        <v>-0.76313184893845498</v>
      </c>
      <c r="CC22" s="26"/>
      <c r="CD22" s="26"/>
      <c r="CE22" s="26">
        <f t="shared" si="129"/>
        <v>9050.8000000000011</v>
      </c>
      <c r="CF22" s="26">
        <f t="shared" si="129"/>
        <v>7323.3</v>
      </c>
      <c r="CG22" s="55">
        <f t="shared" si="29"/>
        <v>-0.73597818001487725</v>
      </c>
      <c r="CH22" s="55">
        <f t="shared" si="29"/>
        <v>-0.77559087691558115</v>
      </c>
      <c r="CI22" s="26"/>
      <c r="CJ22" s="26"/>
      <c r="CK22" s="26">
        <f t="shared" si="130"/>
        <v>9050.8000000000011</v>
      </c>
      <c r="CL22" s="26">
        <f t="shared" si="130"/>
        <v>7323.3</v>
      </c>
      <c r="CM22" s="55">
        <f t="shared" si="31"/>
        <v>-0.76756226469364586</v>
      </c>
      <c r="CN22" s="55">
        <f t="shared" si="31"/>
        <v>-0.80310375144177637</v>
      </c>
      <c r="CO22" s="26"/>
      <c r="CP22" s="26"/>
      <c r="CQ22" s="26">
        <f t="shared" si="131"/>
        <v>9050.8000000000011</v>
      </c>
      <c r="CR22" s="26">
        <f t="shared" si="131"/>
        <v>7323.3</v>
      </c>
      <c r="CS22" s="55">
        <f t="shared" si="33"/>
        <v>-0.77534805562932974</v>
      </c>
      <c r="CT22" s="55">
        <f t="shared" si="33"/>
        <v>-0.80839691061505126</v>
      </c>
      <c r="CU22" s="26"/>
      <c r="CV22" s="26"/>
      <c r="CW22" s="26">
        <f t="shared" si="132"/>
        <v>9050.8000000000011</v>
      </c>
      <c r="CX22" s="26">
        <f t="shared" si="132"/>
        <v>7323.3</v>
      </c>
      <c r="CY22" s="55">
        <f t="shared" si="35"/>
        <v>-0.80563125602650909</v>
      </c>
      <c r="CZ22" s="55">
        <f t="shared" si="35"/>
        <v>-0.8341606467537761</v>
      </c>
      <c r="DA22" s="26"/>
      <c r="DB22" s="26"/>
      <c r="DC22" s="26">
        <f t="shared" si="133"/>
        <v>9050.8000000000011</v>
      </c>
      <c r="DD22" s="26">
        <f t="shared" si="133"/>
        <v>7323.3</v>
      </c>
      <c r="DE22" s="55">
        <f t="shared" si="37"/>
        <v>-0.81105077796357872</v>
      </c>
      <c r="DF22" s="55">
        <f t="shared" si="37"/>
        <v>-0.83798295605387518</v>
      </c>
      <c r="DG22" s="26"/>
      <c r="DH22" s="26"/>
      <c r="DI22" s="26">
        <f t="shared" si="134"/>
        <v>9050.8000000000011</v>
      </c>
      <c r="DJ22" s="26">
        <f t="shared" si="134"/>
        <v>7323.3</v>
      </c>
      <c r="DK22" s="55">
        <f t="shared" si="39"/>
        <v>-0.81824753902814196</v>
      </c>
      <c r="DL22" s="55">
        <f t="shared" si="39"/>
        <v>-0.84343961245248655</v>
      </c>
      <c r="DM22" s="26"/>
      <c r="DN22" s="26"/>
      <c r="DO22" s="26"/>
      <c r="DP22" s="26"/>
      <c r="DQ22" s="26">
        <v>31160</v>
      </c>
      <c r="DR22" s="26">
        <v>23600</v>
      </c>
      <c r="DS22" s="55">
        <f>IF($AY$22=0,1,DQ22/$AY$22-1)</f>
        <v>-0.59086134453781514</v>
      </c>
      <c r="DT22" s="55">
        <f>IF($AZ$22=0,1,DR22/$AZ$22-1)</f>
        <v>-0.65597667638483959</v>
      </c>
      <c r="DU22" s="55">
        <f>IF($E$22=0,1,DQ22/$E$22-1)</f>
        <v>-0.39588050997301238</v>
      </c>
      <c r="DV22" s="55">
        <f>IF($E$22=0,1,DR22/$E$22-1)</f>
        <v>-0.54245122064708251</v>
      </c>
      <c r="DW22" s="25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33" t="s">
        <v>90</v>
      </c>
      <c r="B23" s="334"/>
      <c r="C23" s="26"/>
      <c r="D23" s="26"/>
      <c r="E23" s="26"/>
      <c r="F23" s="26"/>
      <c r="G23" s="26"/>
      <c r="H23" s="26"/>
      <c r="I23" s="26"/>
      <c r="J23" s="26"/>
      <c r="K23" s="26">
        <f t="shared" si="111"/>
        <v>0</v>
      </c>
      <c r="L23" s="26">
        <f t="shared" si="111"/>
        <v>0</v>
      </c>
      <c r="M23" s="26"/>
      <c r="N23" s="26"/>
      <c r="O23" s="26">
        <f t="shared" si="112"/>
        <v>0</v>
      </c>
      <c r="P23" s="26">
        <f t="shared" si="112"/>
        <v>0</v>
      </c>
      <c r="Q23" s="26"/>
      <c r="R23" s="26"/>
      <c r="S23" s="26">
        <f t="shared" si="113"/>
        <v>0</v>
      </c>
      <c r="T23" s="26">
        <f t="shared" si="113"/>
        <v>0</v>
      </c>
      <c r="U23" s="26"/>
      <c r="V23" s="26"/>
      <c r="W23" s="26">
        <f t="shared" si="114"/>
        <v>0</v>
      </c>
      <c r="X23" s="26">
        <f t="shared" si="114"/>
        <v>0</v>
      </c>
      <c r="Y23" s="26"/>
      <c r="Z23" s="26"/>
      <c r="AA23" s="26">
        <f t="shared" si="115"/>
        <v>0</v>
      </c>
      <c r="AB23" s="26">
        <f t="shared" si="115"/>
        <v>0</v>
      </c>
      <c r="AC23" s="26"/>
      <c r="AD23" s="26"/>
      <c r="AE23" s="26">
        <f t="shared" si="116"/>
        <v>0</v>
      </c>
      <c r="AF23" s="26">
        <f t="shared" si="116"/>
        <v>0</v>
      </c>
      <c r="AG23" s="26"/>
      <c r="AH23" s="26"/>
      <c r="AI23" s="26">
        <f t="shared" si="117"/>
        <v>0</v>
      </c>
      <c r="AJ23" s="26">
        <f t="shared" si="117"/>
        <v>0</v>
      </c>
      <c r="AK23" s="26"/>
      <c r="AL23" s="23"/>
      <c r="AM23" s="26">
        <f t="shared" si="118"/>
        <v>0</v>
      </c>
      <c r="AN23" s="26">
        <f t="shared" si="118"/>
        <v>0</v>
      </c>
      <c r="AO23" s="26"/>
      <c r="AP23" s="26"/>
      <c r="AQ23" s="26">
        <f t="shared" si="119"/>
        <v>0</v>
      </c>
      <c r="AR23" s="26">
        <f t="shared" si="119"/>
        <v>0</v>
      </c>
      <c r="AS23" s="26"/>
      <c r="AT23" s="26"/>
      <c r="AU23" s="26">
        <f t="shared" si="120"/>
        <v>0</v>
      </c>
      <c r="AV23" s="26">
        <f t="shared" si="120"/>
        <v>0</v>
      </c>
      <c r="AW23" s="26"/>
      <c r="AX23" s="26"/>
      <c r="AY23" s="26"/>
      <c r="AZ23" s="26"/>
      <c r="BA23" s="55">
        <f t="shared" si="109"/>
        <v>1</v>
      </c>
      <c r="BB23" s="55">
        <f t="shared" si="109"/>
        <v>1</v>
      </c>
      <c r="BC23" s="26"/>
      <c r="BD23" s="26"/>
      <c r="BE23" s="26"/>
      <c r="BF23" s="26"/>
      <c r="BG23" s="26">
        <f t="shared" si="125"/>
        <v>0</v>
      </c>
      <c r="BH23" s="26">
        <f t="shared" si="125"/>
        <v>0</v>
      </c>
      <c r="BI23" s="55">
        <f t="shared" si="22"/>
        <v>1</v>
      </c>
      <c r="BJ23" s="55">
        <f t="shared" si="22"/>
        <v>1</v>
      </c>
      <c r="BK23" s="26"/>
      <c r="BL23" s="26"/>
      <c r="BM23" s="26">
        <f t="shared" si="126"/>
        <v>0</v>
      </c>
      <c r="BN23" s="26">
        <f t="shared" si="126"/>
        <v>0</v>
      </c>
      <c r="BO23" s="55">
        <f t="shared" si="24"/>
        <v>1</v>
      </c>
      <c r="BP23" s="55">
        <f t="shared" si="24"/>
        <v>1</v>
      </c>
      <c r="BQ23" s="26"/>
      <c r="BR23" s="26"/>
      <c r="BS23" s="26">
        <f t="shared" si="127"/>
        <v>0</v>
      </c>
      <c r="BT23" s="26">
        <f t="shared" si="127"/>
        <v>0</v>
      </c>
      <c r="BU23" s="55">
        <f t="shared" si="25"/>
        <v>1</v>
      </c>
      <c r="BV23" s="55">
        <f t="shared" si="25"/>
        <v>1</v>
      </c>
      <c r="BW23" s="26"/>
      <c r="BX23" s="26"/>
      <c r="BY23" s="26">
        <f t="shared" si="128"/>
        <v>0</v>
      </c>
      <c r="BZ23" s="26">
        <f t="shared" si="128"/>
        <v>0</v>
      </c>
      <c r="CA23" s="55">
        <f t="shared" si="27"/>
        <v>1</v>
      </c>
      <c r="CB23" s="55">
        <f t="shared" si="27"/>
        <v>1</v>
      </c>
      <c r="CC23" s="26"/>
      <c r="CD23" s="26"/>
      <c r="CE23" s="26">
        <f t="shared" si="129"/>
        <v>0</v>
      </c>
      <c r="CF23" s="26">
        <f t="shared" si="129"/>
        <v>0</v>
      </c>
      <c r="CG23" s="55">
        <f t="shared" si="29"/>
        <v>1</v>
      </c>
      <c r="CH23" s="55">
        <f t="shared" si="29"/>
        <v>1</v>
      </c>
      <c r="CI23" s="26"/>
      <c r="CJ23" s="26"/>
      <c r="CK23" s="26">
        <f t="shared" si="130"/>
        <v>0</v>
      </c>
      <c r="CL23" s="26">
        <f t="shared" si="130"/>
        <v>0</v>
      </c>
      <c r="CM23" s="55">
        <f t="shared" si="31"/>
        <v>1</v>
      </c>
      <c r="CN23" s="55">
        <f t="shared" si="31"/>
        <v>1</v>
      </c>
      <c r="CO23" s="26"/>
      <c r="CP23" s="26"/>
      <c r="CQ23" s="26">
        <f t="shared" si="131"/>
        <v>0</v>
      </c>
      <c r="CR23" s="26">
        <f t="shared" si="131"/>
        <v>0</v>
      </c>
      <c r="CS23" s="55">
        <f t="shared" si="33"/>
        <v>1</v>
      </c>
      <c r="CT23" s="55">
        <f t="shared" si="33"/>
        <v>1</v>
      </c>
      <c r="CU23" s="26"/>
      <c r="CV23" s="26"/>
      <c r="CW23" s="26">
        <f t="shared" si="132"/>
        <v>0</v>
      </c>
      <c r="CX23" s="26">
        <f t="shared" si="132"/>
        <v>0</v>
      </c>
      <c r="CY23" s="55">
        <f t="shared" si="35"/>
        <v>1</v>
      </c>
      <c r="CZ23" s="55">
        <f t="shared" si="35"/>
        <v>1</v>
      </c>
      <c r="DA23" s="26"/>
      <c r="DB23" s="26"/>
      <c r="DC23" s="26">
        <f t="shared" si="133"/>
        <v>0</v>
      </c>
      <c r="DD23" s="26">
        <f t="shared" si="133"/>
        <v>0</v>
      </c>
      <c r="DE23" s="55">
        <f t="shared" si="37"/>
        <v>1</v>
      </c>
      <c r="DF23" s="55">
        <f t="shared" si="37"/>
        <v>1</v>
      </c>
      <c r="DG23" s="26"/>
      <c r="DH23" s="26"/>
      <c r="DI23" s="26">
        <f t="shared" si="134"/>
        <v>0</v>
      </c>
      <c r="DJ23" s="26">
        <f t="shared" si="134"/>
        <v>0</v>
      </c>
      <c r="DK23" s="55">
        <f t="shared" si="39"/>
        <v>1</v>
      </c>
      <c r="DL23" s="55">
        <f t="shared" si="39"/>
        <v>1</v>
      </c>
      <c r="DM23" s="26"/>
      <c r="DN23" s="26"/>
      <c r="DO23" s="26"/>
      <c r="DP23" s="26"/>
      <c r="DQ23" s="26"/>
      <c r="DR23" s="26"/>
      <c r="DS23" s="55">
        <f>IF($AY$23=0,1,DQ23/$AY$23-1)</f>
        <v>1</v>
      </c>
      <c r="DT23" s="55">
        <f>IF($AZ$23=0,1,DR23/$AZ$23-1)</f>
        <v>1</v>
      </c>
      <c r="DU23" s="55">
        <f>IF($E$23=0,1,DQ23/$E$23-1)</f>
        <v>1</v>
      </c>
      <c r="DV23" s="55">
        <f>IF($E$23=0,1,DR23/$E$23-1)</f>
        <v>1</v>
      </c>
      <c r="DW23" s="25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33" t="s">
        <v>42</v>
      </c>
      <c r="B24" s="334"/>
      <c r="C24" s="26">
        <f>'[1]прогноз '!B31</f>
        <v>4905.2</v>
      </c>
      <c r="D24" s="26">
        <f>'[1]прогноз '!C31</f>
        <v>4718.4399999999996</v>
      </c>
      <c r="E24" s="26">
        <f t="shared" si="110"/>
        <v>4537.6999999999989</v>
      </c>
      <c r="F24" s="26">
        <f>H24+J24+N24+R24+V24+Z24+AD24+AH24+AL24+AP24+AT24+AX24</f>
        <v>4094.1999999999994</v>
      </c>
      <c r="G24" s="26">
        <v>-38.200000000000003</v>
      </c>
      <c r="H24" s="26">
        <v>-60.7</v>
      </c>
      <c r="I24" s="26">
        <f>288.5-G24</f>
        <v>326.7</v>
      </c>
      <c r="J24" s="26">
        <v>321.5</v>
      </c>
      <c r="K24" s="26">
        <f t="shared" si="111"/>
        <v>288.5</v>
      </c>
      <c r="L24" s="26">
        <f t="shared" si="111"/>
        <v>260.8</v>
      </c>
      <c r="M24" s="26">
        <f>641.7-G24-I24</f>
        <v>353.2000000000001</v>
      </c>
      <c r="N24" s="26">
        <v>351.4</v>
      </c>
      <c r="O24" s="26">
        <f t="shared" si="112"/>
        <v>641.70000000000005</v>
      </c>
      <c r="P24" s="26">
        <f t="shared" si="112"/>
        <v>612.20000000000005</v>
      </c>
      <c r="Q24" s="26">
        <f>1143.7-G24-I24-M24</f>
        <v>501.99999999999994</v>
      </c>
      <c r="R24" s="26">
        <v>495.3</v>
      </c>
      <c r="S24" s="26">
        <f t="shared" si="113"/>
        <v>1143.7</v>
      </c>
      <c r="T24" s="26">
        <f t="shared" si="113"/>
        <v>1107.5</v>
      </c>
      <c r="U24" s="26">
        <f>1430.8-G24-I24-M24-Q24</f>
        <v>287.09999999999997</v>
      </c>
      <c r="V24" s="26">
        <v>275.10000000000002</v>
      </c>
      <c r="W24" s="26">
        <f t="shared" si="114"/>
        <v>1430.8</v>
      </c>
      <c r="X24" s="26">
        <f t="shared" si="114"/>
        <v>1382.6</v>
      </c>
      <c r="Y24" s="26">
        <f>1845.7-G24-I24-M24-Q24-U24</f>
        <v>414.90000000000003</v>
      </c>
      <c r="Z24" s="26">
        <v>409.8</v>
      </c>
      <c r="AA24" s="26">
        <f t="shared" si="115"/>
        <v>1845.7</v>
      </c>
      <c r="AB24" s="26">
        <f t="shared" si="115"/>
        <v>1792.3999999999999</v>
      </c>
      <c r="AC24" s="26">
        <v>310.7</v>
      </c>
      <c r="AD24" s="26">
        <v>309.8</v>
      </c>
      <c r="AE24" s="26">
        <f t="shared" si="116"/>
        <v>2156.4</v>
      </c>
      <c r="AF24" s="26">
        <f t="shared" si="116"/>
        <v>2102.1999999999998</v>
      </c>
      <c r="AG24" s="26">
        <f>2624.4-G24-I24-M24-Q24-U24-Y24-AC24</f>
        <v>468.00000000000006</v>
      </c>
      <c r="AH24" s="26">
        <f>2562.4-H24-J24-N24-R24-V24-Z24-AD24</f>
        <v>460.19999999999976</v>
      </c>
      <c r="AI24" s="26">
        <f t="shared" si="117"/>
        <v>2624.4</v>
      </c>
      <c r="AJ24" s="26">
        <f t="shared" si="117"/>
        <v>2562.3999999999996</v>
      </c>
      <c r="AK24" s="26">
        <f>2957.5-G24-I24-M24-Q24-U24-Y24-AC24-AG24</f>
        <v>333.09999999999962</v>
      </c>
      <c r="AL24" s="23">
        <f>2895-H24-J24-N24-R24-V24-Z24-AD24-AH24</f>
        <v>332.59999999999997</v>
      </c>
      <c r="AM24" s="26">
        <f t="shared" si="118"/>
        <v>2957.4999999999995</v>
      </c>
      <c r="AN24" s="26">
        <f t="shared" si="118"/>
        <v>2894.9999999999995</v>
      </c>
      <c r="AO24" s="26">
        <f>3035.7-G24-I24-M24-Q24-U24-Y24-AC24-AG24-AK24</f>
        <v>78.199999999999818</v>
      </c>
      <c r="AP24" s="26">
        <f>2936.7-H24-J24-N24-R24-V24-Z24-AD24-AH24-AL24</f>
        <v>41.699999999999818</v>
      </c>
      <c r="AQ24" s="26">
        <f t="shared" si="119"/>
        <v>3035.6999999999994</v>
      </c>
      <c r="AR24" s="26">
        <f t="shared" si="119"/>
        <v>2936.6999999999994</v>
      </c>
      <c r="AS24" s="26">
        <v>596.6</v>
      </c>
      <c r="AT24" s="26">
        <v>596.5</v>
      </c>
      <c r="AU24" s="26">
        <f t="shared" si="120"/>
        <v>3632.2999999999993</v>
      </c>
      <c r="AV24" s="26">
        <f t="shared" si="120"/>
        <v>3533.1999999999994</v>
      </c>
      <c r="AW24" s="26">
        <f>344.4+AX24</f>
        <v>905.4</v>
      </c>
      <c r="AX24" s="26">
        <v>561</v>
      </c>
      <c r="AY24" s="26">
        <v>3757.5</v>
      </c>
      <c r="AZ24" s="26">
        <v>3371</v>
      </c>
      <c r="BA24" s="55">
        <f t="shared" si="109"/>
        <v>-0.17193732507658044</v>
      </c>
      <c r="BB24" s="55">
        <f t="shared" si="109"/>
        <v>-0.17664012505495563</v>
      </c>
      <c r="BC24" s="26">
        <v>191.2</v>
      </c>
      <c r="BD24" s="26">
        <v>189.5</v>
      </c>
      <c r="BE24" s="26">
        <v>427.2</v>
      </c>
      <c r="BF24" s="26">
        <v>398.5</v>
      </c>
      <c r="BG24" s="26">
        <f t="shared" si="125"/>
        <v>618.4</v>
      </c>
      <c r="BH24" s="26">
        <f t="shared" si="125"/>
        <v>588</v>
      </c>
      <c r="BI24" s="55">
        <f t="shared" si="22"/>
        <v>1.1435008665511264</v>
      </c>
      <c r="BJ24" s="55">
        <f t="shared" si="22"/>
        <v>1.2546012269938651</v>
      </c>
      <c r="BK24" s="26">
        <v>381</v>
      </c>
      <c r="BL24" s="26">
        <v>395.1</v>
      </c>
      <c r="BM24" s="26">
        <f t="shared" si="126"/>
        <v>999.4</v>
      </c>
      <c r="BN24" s="26">
        <f t="shared" si="126"/>
        <v>983.1</v>
      </c>
      <c r="BO24" s="55">
        <f t="shared" si="24"/>
        <v>0.55742558828112809</v>
      </c>
      <c r="BP24" s="55">
        <f t="shared" si="24"/>
        <v>0.60584776216922576</v>
      </c>
      <c r="BQ24" s="26"/>
      <c r="BR24" s="26"/>
      <c r="BS24" s="26">
        <f t="shared" si="127"/>
        <v>999.4</v>
      </c>
      <c r="BT24" s="26">
        <f t="shared" si="127"/>
        <v>983.1</v>
      </c>
      <c r="BU24" s="55">
        <f t="shared" si="25"/>
        <v>-0.12616945003060254</v>
      </c>
      <c r="BV24" s="55">
        <f t="shared" si="25"/>
        <v>-0.11232505643340851</v>
      </c>
      <c r="BW24" s="26"/>
      <c r="BX24" s="26"/>
      <c r="BY24" s="26">
        <f t="shared" si="128"/>
        <v>999.4</v>
      </c>
      <c r="BZ24" s="26">
        <f t="shared" si="128"/>
        <v>983.1</v>
      </c>
      <c r="CA24" s="55">
        <f t="shared" si="27"/>
        <v>-0.301509644953872</v>
      </c>
      <c r="CB24" s="55">
        <f t="shared" si="27"/>
        <v>-0.28894835816577458</v>
      </c>
      <c r="CC24" s="26"/>
      <c r="CD24" s="26"/>
      <c r="CE24" s="26">
        <f t="shared" si="129"/>
        <v>999.4</v>
      </c>
      <c r="CF24" s="26">
        <f t="shared" si="129"/>
        <v>983.1</v>
      </c>
      <c r="CG24" s="55">
        <f t="shared" si="29"/>
        <v>-0.4585252207834426</v>
      </c>
      <c r="CH24" s="55">
        <f t="shared" si="29"/>
        <v>-0.45151751841106891</v>
      </c>
      <c r="CI24" s="26"/>
      <c r="CJ24" s="26"/>
      <c r="CK24" s="26">
        <f t="shared" si="130"/>
        <v>999.4</v>
      </c>
      <c r="CL24" s="26">
        <f t="shared" si="130"/>
        <v>983.1</v>
      </c>
      <c r="CM24" s="55">
        <f t="shared" si="31"/>
        <v>-0.53654238545724353</v>
      </c>
      <c r="CN24" s="55">
        <f t="shared" si="31"/>
        <v>-0.5323470649795452</v>
      </c>
      <c r="CO24" s="26"/>
      <c r="CP24" s="26"/>
      <c r="CQ24" s="26">
        <f t="shared" si="131"/>
        <v>999.4</v>
      </c>
      <c r="CR24" s="26">
        <f t="shared" si="131"/>
        <v>983.1</v>
      </c>
      <c r="CS24" s="55">
        <f t="shared" si="33"/>
        <v>-0.61918914799573233</v>
      </c>
      <c r="CT24" s="55">
        <f t="shared" si="33"/>
        <v>-0.61633624726818603</v>
      </c>
      <c r="CU24" s="26"/>
      <c r="CV24" s="26"/>
      <c r="CW24" s="26">
        <f t="shared" si="132"/>
        <v>999.4</v>
      </c>
      <c r="CX24" s="26">
        <f t="shared" si="132"/>
        <v>983.1</v>
      </c>
      <c r="CY24" s="55">
        <f t="shared" si="35"/>
        <v>-0.66207945900253584</v>
      </c>
      <c r="CZ24" s="55">
        <f t="shared" si="35"/>
        <v>-0.66041450777202071</v>
      </c>
      <c r="DA24" s="26"/>
      <c r="DB24" s="26"/>
      <c r="DC24" s="26">
        <f t="shared" si="133"/>
        <v>999.4</v>
      </c>
      <c r="DD24" s="26">
        <f t="shared" si="133"/>
        <v>983.1</v>
      </c>
      <c r="DE24" s="55">
        <f t="shared" si="37"/>
        <v>-0.67078433310274388</v>
      </c>
      <c r="DF24" s="55">
        <f t="shared" si="37"/>
        <v>-0.66523648993768503</v>
      </c>
      <c r="DG24" s="26"/>
      <c r="DH24" s="26"/>
      <c r="DI24" s="26">
        <f t="shared" si="134"/>
        <v>999.4</v>
      </c>
      <c r="DJ24" s="26">
        <f t="shared" si="134"/>
        <v>983.1</v>
      </c>
      <c r="DK24" s="55">
        <f t="shared" si="39"/>
        <v>-0.72485752828786165</v>
      </c>
      <c r="DL24" s="55">
        <f t="shared" si="39"/>
        <v>-0.72175365108117284</v>
      </c>
      <c r="DM24" s="26"/>
      <c r="DN24" s="26"/>
      <c r="DO24" s="26"/>
      <c r="DP24" s="26"/>
      <c r="DQ24" s="26">
        <v>3757.5</v>
      </c>
      <c r="DR24" s="26">
        <v>3371</v>
      </c>
      <c r="DS24" s="55">
        <f>IF($AY$24=0,1,DQ24/$AY$24-1)</f>
        <v>0</v>
      </c>
      <c r="DT24" s="55">
        <f>IF($AZ$24=0,1,DR24/$AZ$24-1)</f>
        <v>0</v>
      </c>
      <c r="DU24" s="55">
        <f>IF($E$24=0,1,DQ24/$E$24-1)</f>
        <v>-0.17193732507658044</v>
      </c>
      <c r="DV24" s="55">
        <f>IF($E$24=0,1,DR24/$E$24-1)</f>
        <v>-0.25711263415386632</v>
      </c>
      <c r="DW24" s="25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333" t="s">
        <v>43</v>
      </c>
      <c r="B25" s="334"/>
      <c r="C25" s="26">
        <f>'[1]прогноз '!B32</f>
        <v>1969.7</v>
      </c>
      <c r="D25" s="26">
        <f>'[1]прогноз '!C32</f>
        <v>1936</v>
      </c>
      <c r="E25" s="26">
        <f t="shared" si="110"/>
        <v>-484.70000000000027</v>
      </c>
      <c r="F25" s="26">
        <f>H25+J25+N25+R25+V25+Z25+AD25+AH25+AL25+AP25+AT25+AX25</f>
        <v>-990.69999999999959</v>
      </c>
      <c r="G25" s="26">
        <v>89.2</v>
      </c>
      <c r="H25" s="26">
        <v>89.1</v>
      </c>
      <c r="I25" s="26">
        <f>94.4-G25</f>
        <v>5.2000000000000028</v>
      </c>
      <c r="J25" s="26">
        <v>5.3</v>
      </c>
      <c r="K25" s="26">
        <f t="shared" si="111"/>
        <v>94.4</v>
      </c>
      <c r="L25" s="26">
        <f t="shared" si="111"/>
        <v>94.399999999999991</v>
      </c>
      <c r="M25" s="26">
        <f>412-G25-I25</f>
        <v>317.60000000000002</v>
      </c>
      <c r="N25" s="26">
        <v>117.6</v>
      </c>
      <c r="O25" s="26">
        <f t="shared" si="112"/>
        <v>412</v>
      </c>
      <c r="P25" s="26">
        <f t="shared" si="112"/>
        <v>212</v>
      </c>
      <c r="Q25" s="26">
        <f>892.7-G25-I25-M25</f>
        <v>480.69999999999993</v>
      </c>
      <c r="R25" s="26">
        <v>480.7</v>
      </c>
      <c r="S25" s="26">
        <f t="shared" si="113"/>
        <v>892.69999999999993</v>
      </c>
      <c r="T25" s="26">
        <f t="shared" si="113"/>
        <v>692.7</v>
      </c>
      <c r="U25" s="26">
        <f>981.7-G25-I25-M25-Q25</f>
        <v>89</v>
      </c>
      <c r="V25" s="26">
        <v>89</v>
      </c>
      <c r="W25" s="26">
        <f t="shared" si="114"/>
        <v>981.69999999999993</v>
      </c>
      <c r="X25" s="26">
        <f t="shared" si="114"/>
        <v>781.7</v>
      </c>
      <c r="Y25" s="26">
        <f>-180.3-G25-I25-M25-Q25-U25</f>
        <v>-1162</v>
      </c>
      <c r="Z25" s="26">
        <v>-1264</v>
      </c>
      <c r="AA25" s="26">
        <f t="shared" si="115"/>
        <v>-180.30000000000007</v>
      </c>
      <c r="AB25" s="26">
        <f t="shared" si="115"/>
        <v>-482.29999999999995</v>
      </c>
      <c r="AC25" s="26">
        <f>-250+360</f>
        <v>110</v>
      </c>
      <c r="AD25" s="26">
        <v>101.2</v>
      </c>
      <c r="AE25" s="26">
        <f t="shared" si="116"/>
        <v>-70.300000000000068</v>
      </c>
      <c r="AF25" s="26">
        <f t="shared" si="116"/>
        <v>-381.09999999999997</v>
      </c>
      <c r="AG25" s="26">
        <f>-138.1-G25-I25-M25-Q25-U25-Y25-AC25</f>
        <v>-67.799999999999955</v>
      </c>
      <c r="AH25" s="26">
        <f>-449-H25-J25-N25-R25-V25-Z25-AD25</f>
        <v>-67.900000000000048</v>
      </c>
      <c r="AI25" s="26">
        <f t="shared" si="117"/>
        <v>-138.10000000000002</v>
      </c>
      <c r="AJ25" s="26">
        <f t="shared" si="117"/>
        <v>-449</v>
      </c>
      <c r="AK25" s="26">
        <f>-521.3-G25-I25-M25-Q25-U25-Y25-AC25-AG25</f>
        <v>-383.20000000000005</v>
      </c>
      <c r="AL25" s="23">
        <f>-1029.3-H25-J25-N25-R25-V25-Z25-AD25-AH25</f>
        <v>-580.29999999999973</v>
      </c>
      <c r="AM25" s="26">
        <f t="shared" si="118"/>
        <v>-521.30000000000007</v>
      </c>
      <c r="AN25" s="26">
        <f t="shared" si="118"/>
        <v>-1029.2999999999997</v>
      </c>
      <c r="AO25" s="26">
        <f>-550.1-G25-I25-M25-Q25-U25-Y25-AC25-AG25-AK25</f>
        <v>-28.800000000000182</v>
      </c>
      <c r="AP25" s="26">
        <f>-1056.1-H25-J25-N25-R25-V25-Z25-AD25-AH25-AL25</f>
        <v>-26.799999999999955</v>
      </c>
      <c r="AQ25" s="26">
        <f t="shared" si="119"/>
        <v>-550.10000000000025</v>
      </c>
      <c r="AR25" s="26">
        <f t="shared" si="119"/>
        <v>-1056.0999999999997</v>
      </c>
      <c r="AS25" s="26">
        <v>8.9</v>
      </c>
      <c r="AT25" s="26">
        <v>8.9</v>
      </c>
      <c r="AU25" s="26">
        <f t="shared" si="120"/>
        <v>-541.20000000000027</v>
      </c>
      <c r="AV25" s="26">
        <f t="shared" si="120"/>
        <v>-1047.1999999999996</v>
      </c>
      <c r="AW25" s="26">
        <f>0+AX25</f>
        <v>56.5</v>
      </c>
      <c r="AX25" s="26">
        <v>56.5</v>
      </c>
      <c r="AY25" s="26">
        <v>460</v>
      </c>
      <c r="AZ25" s="26">
        <v>450</v>
      </c>
      <c r="BA25" s="55">
        <f t="shared" si="109"/>
        <v>-1.9490406436971317</v>
      </c>
      <c r="BB25" s="55">
        <f t="shared" si="109"/>
        <v>-1.454224285858484</v>
      </c>
      <c r="BC25" s="26">
        <v>59.9</v>
      </c>
      <c r="BD25" s="26">
        <v>23.9</v>
      </c>
      <c r="BE25" s="26">
        <v>37.700000000000003</v>
      </c>
      <c r="BF25" s="26">
        <v>62.6</v>
      </c>
      <c r="BG25" s="26">
        <f t="shared" si="125"/>
        <v>97.6</v>
      </c>
      <c r="BH25" s="26">
        <f t="shared" si="125"/>
        <v>86.5</v>
      </c>
      <c r="BI25" s="55">
        <f t="shared" si="22"/>
        <v>3.3898305084745672E-2</v>
      </c>
      <c r="BJ25" s="55">
        <f t="shared" si="22"/>
        <v>-8.3686440677966045E-2</v>
      </c>
      <c r="BK25" s="26">
        <v>20</v>
      </c>
      <c r="BL25" s="26">
        <f>27-4</f>
        <v>23</v>
      </c>
      <c r="BM25" s="26">
        <f t="shared" si="126"/>
        <v>117.6</v>
      </c>
      <c r="BN25" s="26">
        <f t="shared" si="126"/>
        <v>109.5</v>
      </c>
      <c r="BO25" s="55">
        <f t="shared" si="24"/>
        <v>-0.71456310679611645</v>
      </c>
      <c r="BP25" s="55">
        <f t="shared" si="24"/>
        <v>-0.48349056603773588</v>
      </c>
      <c r="BQ25" s="26"/>
      <c r="BR25" s="26"/>
      <c r="BS25" s="26">
        <f t="shared" si="127"/>
        <v>117.6</v>
      </c>
      <c r="BT25" s="26">
        <f t="shared" si="127"/>
        <v>109.5</v>
      </c>
      <c r="BU25" s="55">
        <f t="shared" si="25"/>
        <v>-0.86826481460737093</v>
      </c>
      <c r="BV25" s="55">
        <f t="shared" si="25"/>
        <v>-0.84192291035080125</v>
      </c>
      <c r="BW25" s="26"/>
      <c r="BX25" s="26"/>
      <c r="BY25" s="26">
        <f t="shared" si="128"/>
        <v>117.6</v>
      </c>
      <c r="BZ25" s="26">
        <f t="shared" si="128"/>
        <v>109.5</v>
      </c>
      <c r="CA25" s="55">
        <f t="shared" si="27"/>
        <v>-0.88020780279107669</v>
      </c>
      <c r="CB25" s="55">
        <f t="shared" si="27"/>
        <v>-0.85992068568504543</v>
      </c>
      <c r="CC25" s="26"/>
      <c r="CD25" s="26"/>
      <c r="CE25" s="26">
        <f t="shared" si="129"/>
        <v>117.6</v>
      </c>
      <c r="CF25" s="26">
        <f t="shared" si="129"/>
        <v>109.5</v>
      </c>
      <c r="CG25" s="55">
        <f t="shared" si="29"/>
        <v>-1.6522462562396005</v>
      </c>
      <c r="CH25" s="55">
        <f t="shared" si="29"/>
        <v>-1.2270371138295666</v>
      </c>
      <c r="CI25" s="26"/>
      <c r="CJ25" s="26"/>
      <c r="CK25" s="26">
        <f t="shared" si="130"/>
        <v>117.6</v>
      </c>
      <c r="CL25" s="26">
        <f t="shared" si="130"/>
        <v>109.5</v>
      </c>
      <c r="CM25" s="55">
        <f t="shared" si="31"/>
        <v>-2.6728307254623029</v>
      </c>
      <c r="CN25" s="55">
        <f t="shared" si="31"/>
        <v>-1.2873261611125688</v>
      </c>
      <c r="CO25" s="26"/>
      <c r="CP25" s="26"/>
      <c r="CQ25" s="26">
        <f t="shared" si="131"/>
        <v>117.6</v>
      </c>
      <c r="CR25" s="26">
        <f t="shared" si="131"/>
        <v>109.5</v>
      </c>
      <c r="CS25" s="55">
        <f t="shared" si="33"/>
        <v>-1.8515568428674871</v>
      </c>
      <c r="CT25" s="55">
        <f t="shared" si="33"/>
        <v>-1.2438752783964366</v>
      </c>
      <c r="CU25" s="26"/>
      <c r="CV25" s="26"/>
      <c r="CW25" s="26">
        <f t="shared" si="132"/>
        <v>117.6</v>
      </c>
      <c r="CX25" s="26">
        <f t="shared" si="132"/>
        <v>109.5</v>
      </c>
      <c r="CY25" s="55">
        <f t="shared" si="35"/>
        <v>-1.2255898714751583</v>
      </c>
      <c r="CZ25" s="55">
        <f t="shared" si="35"/>
        <v>-1.1063829787234043</v>
      </c>
      <c r="DA25" s="26"/>
      <c r="DB25" s="26"/>
      <c r="DC25" s="26">
        <f t="shared" si="133"/>
        <v>117.6</v>
      </c>
      <c r="DD25" s="26">
        <f t="shared" si="133"/>
        <v>109.5</v>
      </c>
      <c r="DE25" s="55">
        <f t="shared" si="37"/>
        <v>-1.2137793128522085</v>
      </c>
      <c r="DF25" s="55">
        <f t="shared" si="37"/>
        <v>-1.1036833633178678</v>
      </c>
      <c r="DG25" s="26"/>
      <c r="DH25" s="26"/>
      <c r="DI25" s="26">
        <f t="shared" si="134"/>
        <v>117.6</v>
      </c>
      <c r="DJ25" s="26">
        <f t="shared" si="134"/>
        <v>109.5</v>
      </c>
      <c r="DK25" s="55">
        <f t="shared" si="39"/>
        <v>-1.2172949002217295</v>
      </c>
      <c r="DL25" s="55">
        <f t="shared" si="39"/>
        <v>-1.104564553093965</v>
      </c>
      <c r="DM25" s="26"/>
      <c r="DN25" s="26"/>
      <c r="DO25" s="26"/>
      <c r="DP25" s="26"/>
      <c r="DQ25" s="26">
        <v>460</v>
      </c>
      <c r="DR25" s="26">
        <v>450</v>
      </c>
      <c r="DS25" s="55">
        <f>IF($AY$25=0,1,DQ25/$AY$25-1)</f>
        <v>0</v>
      </c>
      <c r="DT25" s="55">
        <f>IF($AZ$25=0,1,DR25/$AZ$25-1)</f>
        <v>0</v>
      </c>
      <c r="DU25" s="55">
        <f>IF($E$25=0,1,DQ25/$E$25-1)</f>
        <v>-1.9490406436971317</v>
      </c>
      <c r="DV25" s="55">
        <f>IF($E$25=0,1,DR25/$E$25-1)</f>
        <v>-1.9284093253558896</v>
      </c>
      <c r="DW25" s="25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59" customFormat="1" ht="18" customHeight="1">
      <c r="A26" s="335" t="s">
        <v>44</v>
      </c>
      <c r="B26" s="336"/>
      <c r="C26" s="23">
        <f t="shared" ref="C26:D26" si="135">C27+C28+C30+C32+C34+C35</f>
        <v>368725</v>
      </c>
      <c r="D26" s="23">
        <f t="shared" si="135"/>
        <v>369398.39</v>
      </c>
      <c r="E26" s="23">
        <f>E27+E28+E30+E32+E34+E35</f>
        <v>424075.80000000005</v>
      </c>
      <c r="F26" s="23">
        <f t="shared" ref="F26:AX26" si="136">F27+F28+F30+F32+F34+F35</f>
        <v>425061.70000000007</v>
      </c>
      <c r="G26" s="23">
        <f t="shared" si="136"/>
        <v>13176.5</v>
      </c>
      <c r="H26" s="23">
        <f t="shared" si="136"/>
        <v>13197.699999999997</v>
      </c>
      <c r="I26" s="23">
        <f t="shared" si="136"/>
        <v>24155.599999999999</v>
      </c>
      <c r="J26" s="23">
        <f t="shared" si="136"/>
        <v>24236.1</v>
      </c>
      <c r="K26" s="23">
        <f t="shared" si="136"/>
        <v>37332.1</v>
      </c>
      <c r="L26" s="23">
        <f t="shared" si="136"/>
        <v>37433.799999999996</v>
      </c>
      <c r="M26" s="23">
        <f t="shared" si="136"/>
        <v>27835.399999999994</v>
      </c>
      <c r="N26" s="23">
        <f t="shared" si="136"/>
        <v>27972.699999999997</v>
      </c>
      <c r="O26" s="23">
        <f t="shared" si="136"/>
        <v>65167.5</v>
      </c>
      <c r="P26" s="23">
        <f t="shared" si="136"/>
        <v>65406.5</v>
      </c>
      <c r="Q26" s="23">
        <f t="shared" si="136"/>
        <v>32324.3</v>
      </c>
      <c r="R26" s="23">
        <f t="shared" si="136"/>
        <v>32375.9</v>
      </c>
      <c r="S26" s="23">
        <f t="shared" si="136"/>
        <v>97491.8</v>
      </c>
      <c r="T26" s="23">
        <f t="shared" si="136"/>
        <v>97782.399999999994</v>
      </c>
      <c r="U26" s="23">
        <f t="shared" si="136"/>
        <v>40458.400000000016</v>
      </c>
      <c r="V26" s="23">
        <f t="shared" si="136"/>
        <v>40467.5</v>
      </c>
      <c r="W26" s="23">
        <f t="shared" si="136"/>
        <v>137950.20000000001</v>
      </c>
      <c r="X26" s="23">
        <f t="shared" si="136"/>
        <v>138249.9</v>
      </c>
      <c r="Y26" s="23">
        <f t="shared" si="136"/>
        <v>85808.699999999983</v>
      </c>
      <c r="Z26" s="23">
        <f t="shared" si="136"/>
        <v>85967.4</v>
      </c>
      <c r="AA26" s="23">
        <f t="shared" si="136"/>
        <v>223758.89999999997</v>
      </c>
      <c r="AB26" s="23">
        <f t="shared" si="136"/>
        <v>224217.3</v>
      </c>
      <c r="AC26" s="23">
        <f t="shared" si="136"/>
        <v>29686.6</v>
      </c>
      <c r="AD26" s="23">
        <f t="shared" si="136"/>
        <v>29878.6</v>
      </c>
      <c r="AE26" s="23">
        <f t="shared" si="136"/>
        <v>253445.5</v>
      </c>
      <c r="AF26" s="23">
        <f t="shared" si="136"/>
        <v>254095.9</v>
      </c>
      <c r="AG26" s="23">
        <f t="shared" si="136"/>
        <v>18043.099999999995</v>
      </c>
      <c r="AH26" s="23">
        <f t="shared" si="136"/>
        <v>18134.800000000014</v>
      </c>
      <c r="AI26" s="23">
        <f t="shared" si="136"/>
        <v>271488.59999999998</v>
      </c>
      <c r="AJ26" s="23">
        <f t="shared" si="136"/>
        <v>272230.7</v>
      </c>
      <c r="AK26" s="23">
        <f t="shared" si="136"/>
        <v>30975.699999999993</v>
      </c>
      <c r="AL26" s="23">
        <f t="shared" si="136"/>
        <v>31081.699999999993</v>
      </c>
      <c r="AM26" s="23">
        <f t="shared" si="136"/>
        <v>302464.3</v>
      </c>
      <c r="AN26" s="23">
        <f t="shared" si="136"/>
        <v>303312.39999999997</v>
      </c>
      <c r="AO26" s="23">
        <f t="shared" si="136"/>
        <v>30356.900000000034</v>
      </c>
      <c r="AP26" s="23">
        <f t="shared" si="136"/>
        <v>30282.90000000002</v>
      </c>
      <c r="AQ26" s="23">
        <f t="shared" si="136"/>
        <v>332821.2</v>
      </c>
      <c r="AR26" s="23">
        <f t="shared" si="136"/>
        <v>333595.3</v>
      </c>
      <c r="AS26" s="23">
        <f t="shared" si="136"/>
        <v>32938.9</v>
      </c>
      <c r="AT26" s="23">
        <f t="shared" si="136"/>
        <v>33029.699999999997</v>
      </c>
      <c r="AU26" s="23">
        <f t="shared" si="136"/>
        <v>365760.10000000003</v>
      </c>
      <c r="AV26" s="23">
        <f t="shared" si="136"/>
        <v>366625.00000000006</v>
      </c>
      <c r="AW26" s="23">
        <f t="shared" si="136"/>
        <v>58315.7</v>
      </c>
      <c r="AX26" s="23">
        <f t="shared" si="136"/>
        <v>58436.7</v>
      </c>
      <c r="AY26" s="23">
        <f>AY27+AY28+AY30+AY32+AY34+AY35</f>
        <v>323112.2</v>
      </c>
      <c r="AZ26" s="23">
        <f>AZ27+AZ28+AZ30+AZ32+AZ34+AZ35</f>
        <v>323973</v>
      </c>
      <c r="BA26" s="54">
        <f t="shared" ref="BA26:BB41" si="137">IF(E26=0,1,AY26/E26-1)</f>
        <v>-0.23807913585259999</v>
      </c>
      <c r="BB26" s="54">
        <f t="shared" si="137"/>
        <v>-0.23782123865782323</v>
      </c>
      <c r="BC26" s="23">
        <f t="shared" ref="BC26:DJ26" si="138">BC27+BC28+BC30+BC32+BC34+BC35</f>
        <v>11049.5</v>
      </c>
      <c r="BD26" s="23">
        <f t="shared" si="138"/>
        <v>11049.1</v>
      </c>
      <c r="BE26" s="23">
        <f>BE27+BE28+BE30+BE32+BE34+BE35</f>
        <v>27465.9</v>
      </c>
      <c r="BF26" s="23">
        <f t="shared" si="138"/>
        <v>27558.2</v>
      </c>
      <c r="BG26" s="23">
        <f t="shared" si="138"/>
        <v>38515.4</v>
      </c>
      <c r="BH26" s="23">
        <f t="shared" si="138"/>
        <v>38607.300000000003</v>
      </c>
      <c r="BI26" s="54">
        <f t="shared" si="22"/>
        <v>3.1696582833540043E-2</v>
      </c>
      <c r="BJ26" s="54">
        <f t="shared" si="22"/>
        <v>3.134867419284193E-2</v>
      </c>
      <c r="BK26" s="23">
        <f t="shared" si="138"/>
        <v>28700</v>
      </c>
      <c r="BL26" s="23">
        <f t="shared" si="138"/>
        <v>28159.8</v>
      </c>
      <c r="BM26" s="23">
        <f t="shared" si="138"/>
        <v>67215.399999999994</v>
      </c>
      <c r="BN26" s="23">
        <f t="shared" si="138"/>
        <v>66767.10000000002</v>
      </c>
      <c r="BO26" s="54">
        <f t="shared" si="24"/>
        <v>3.1425173591130395E-2</v>
      </c>
      <c r="BP26" s="54">
        <f t="shared" si="24"/>
        <v>2.0802213847247897E-2</v>
      </c>
      <c r="BQ26" s="23">
        <f t="shared" si="138"/>
        <v>0</v>
      </c>
      <c r="BR26" s="23">
        <f t="shared" si="138"/>
        <v>0</v>
      </c>
      <c r="BS26" s="23">
        <f t="shared" si="138"/>
        <v>67215.399999999994</v>
      </c>
      <c r="BT26" s="23">
        <f t="shared" si="138"/>
        <v>66767.10000000002</v>
      </c>
      <c r="BU26" s="54">
        <f t="shared" si="25"/>
        <v>-0.31055329781581642</v>
      </c>
      <c r="BV26" s="54">
        <f t="shared" si="25"/>
        <v>-0.31718693752658944</v>
      </c>
      <c r="BW26" s="23">
        <f t="shared" ref="BW26:BX26" si="139">BW27+BW28+BW30+BW32+BW34+BW35</f>
        <v>0</v>
      </c>
      <c r="BX26" s="23">
        <f t="shared" si="139"/>
        <v>0</v>
      </c>
      <c r="BY26" s="23">
        <f t="shared" si="138"/>
        <v>67215.399999999994</v>
      </c>
      <c r="BZ26" s="23">
        <f t="shared" si="138"/>
        <v>66767.10000000002</v>
      </c>
      <c r="CA26" s="54">
        <f t="shared" si="27"/>
        <v>-0.5127560525464987</v>
      </c>
      <c r="CB26" s="54">
        <f t="shared" si="27"/>
        <v>-0.51705498521156235</v>
      </c>
      <c r="CC26" s="23">
        <f t="shared" ref="CC26:CD26" si="140">CC27+CC28+CC30+CC32+CC34+CC35</f>
        <v>0</v>
      </c>
      <c r="CD26" s="23">
        <f t="shared" si="140"/>
        <v>0</v>
      </c>
      <c r="CE26" s="23">
        <f t="shared" si="138"/>
        <v>67215.399999999994</v>
      </c>
      <c r="CF26" s="23">
        <f t="shared" si="138"/>
        <v>66767.10000000002</v>
      </c>
      <c r="CG26" s="54">
        <f t="shared" si="29"/>
        <v>-0.69960792620986245</v>
      </c>
      <c r="CH26" s="54">
        <f t="shared" si="29"/>
        <v>-0.70222146105585947</v>
      </c>
      <c r="CI26" s="23">
        <f t="shared" ref="CI26:CJ26" si="141">CI27+CI28+CI30+CI32+CI34+CI35</f>
        <v>0</v>
      </c>
      <c r="CJ26" s="23">
        <f t="shared" si="141"/>
        <v>0</v>
      </c>
      <c r="CK26" s="23">
        <f t="shared" si="138"/>
        <v>67215.399999999994</v>
      </c>
      <c r="CL26" s="23">
        <f t="shared" si="138"/>
        <v>66767.10000000002</v>
      </c>
      <c r="CM26" s="54">
        <f t="shared" si="31"/>
        <v>-0.73479347630950254</v>
      </c>
      <c r="CN26" s="54">
        <f t="shared" si="31"/>
        <v>-0.73723661027194842</v>
      </c>
      <c r="CO26" s="23">
        <f t="shared" ref="CO26:CP26" si="142">CO27+CO28+CO30+CO32+CO34+CO35</f>
        <v>0</v>
      </c>
      <c r="CP26" s="23">
        <f t="shared" si="142"/>
        <v>0</v>
      </c>
      <c r="CQ26" s="23">
        <f t="shared" si="138"/>
        <v>67215.399999999994</v>
      </c>
      <c r="CR26" s="23">
        <f t="shared" si="138"/>
        <v>66767.10000000002</v>
      </c>
      <c r="CS26" s="54">
        <f t="shared" si="33"/>
        <v>-0.75241907026667043</v>
      </c>
      <c r="CT26" s="54">
        <f t="shared" si="33"/>
        <v>-0.75474074011490977</v>
      </c>
      <c r="CU26" s="23">
        <f t="shared" ref="CU26:CV26" si="143">CU27+CU28+CU30+CU32+CU34+CU35</f>
        <v>0</v>
      </c>
      <c r="CV26" s="23">
        <f t="shared" si="143"/>
        <v>0</v>
      </c>
      <c r="CW26" s="23">
        <f t="shared" si="138"/>
        <v>67215.399999999994</v>
      </c>
      <c r="CX26" s="23">
        <f t="shared" si="138"/>
        <v>66767.10000000002</v>
      </c>
      <c r="CY26" s="54">
        <f t="shared" si="35"/>
        <v>-0.77777410424965854</v>
      </c>
      <c r="CZ26" s="54">
        <f t="shared" si="35"/>
        <v>-0.77987349017053043</v>
      </c>
      <c r="DA26" s="23">
        <f t="shared" ref="DA26:DB26" si="144">DA27+DA28+DA30+DA32+DA34+DA35</f>
        <v>0</v>
      </c>
      <c r="DB26" s="23">
        <f t="shared" si="144"/>
        <v>0</v>
      </c>
      <c r="DC26" s="23">
        <f t="shared" si="138"/>
        <v>67215.399999999994</v>
      </c>
      <c r="DD26" s="23">
        <f t="shared" si="138"/>
        <v>66767.10000000002</v>
      </c>
      <c r="DE26" s="54">
        <f t="shared" si="37"/>
        <v>-0.79804351405499419</v>
      </c>
      <c r="DF26" s="54">
        <f t="shared" si="37"/>
        <v>-0.7998559931749637</v>
      </c>
      <c r="DG26" s="23">
        <f t="shared" ref="DG26:DH26" si="145">DG27+DG28+DG30+DG32+DG34+DG35</f>
        <v>0</v>
      </c>
      <c r="DH26" s="23">
        <f t="shared" si="145"/>
        <v>0</v>
      </c>
      <c r="DI26" s="23">
        <f t="shared" si="138"/>
        <v>67215.399999999994</v>
      </c>
      <c r="DJ26" s="23">
        <f t="shared" si="138"/>
        <v>66767.10000000002</v>
      </c>
      <c r="DK26" s="54">
        <f t="shared" si="39"/>
        <v>-0.8162309120103588</v>
      </c>
      <c r="DL26" s="54">
        <f t="shared" si="39"/>
        <v>-0.81788721445618817</v>
      </c>
      <c r="DM26" s="23">
        <f t="shared" ref="DM26:DR26" si="146">DM27+DM28+DM30+DM32+DM34+DM35</f>
        <v>0</v>
      </c>
      <c r="DN26" s="23">
        <f t="shared" si="146"/>
        <v>0</v>
      </c>
      <c r="DO26" s="23">
        <f t="shared" si="146"/>
        <v>0</v>
      </c>
      <c r="DP26" s="23">
        <f t="shared" si="146"/>
        <v>0</v>
      </c>
      <c r="DQ26" s="23">
        <f t="shared" si="146"/>
        <v>321750.2</v>
      </c>
      <c r="DR26" s="23">
        <f t="shared" si="146"/>
        <v>322611</v>
      </c>
      <c r="DS26" s="54">
        <f>IF($AY$26=0,1,DQ26/$AY$26-1)</f>
        <v>-4.2152540201205735E-3</v>
      </c>
      <c r="DT26" s="54">
        <f>IF($AZ$26=0,1,DR26/$AZ$26-1)</f>
        <v>-4.2040540415404504E-3</v>
      </c>
      <c r="DU26" s="54">
        <f>IF($E$26=0,1,DQ26/$E$26-1)</f>
        <v>-0.24129082583821104</v>
      </c>
      <c r="DV26" s="54">
        <f>IF($E$26=0,1,DR26/$E$26-1)</f>
        <v>-0.23926100003820083</v>
      </c>
      <c r="DW26" s="52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</row>
    <row r="27" spans="1:268" s="64" customFormat="1" ht="18" customHeight="1">
      <c r="A27" s="321" t="s">
        <v>94</v>
      </c>
      <c r="B27" s="322"/>
      <c r="C27" s="29">
        <f>'[1]прогноз '!B34</f>
        <v>7299.4</v>
      </c>
      <c r="D27" s="29">
        <f>'[1]прогноз '!C34</f>
        <v>0</v>
      </c>
      <c r="E27" s="26">
        <f t="shared" si="110"/>
        <v>0</v>
      </c>
      <c r="F27" s="29">
        <f>H27+J27+N27+R27+V27+Z27+AD27+AH27+AL27+AP27+AT27+AX27</f>
        <v>0</v>
      </c>
      <c r="G27" s="29"/>
      <c r="H27" s="29">
        <v>0</v>
      </c>
      <c r="I27" s="29"/>
      <c r="J27" s="29">
        <v>0</v>
      </c>
      <c r="K27" s="26">
        <f t="shared" si="111"/>
        <v>0</v>
      </c>
      <c r="L27" s="26">
        <f t="shared" si="111"/>
        <v>0</v>
      </c>
      <c r="M27" s="29"/>
      <c r="N27" s="29">
        <v>0</v>
      </c>
      <c r="O27" s="26">
        <f t="shared" si="112"/>
        <v>0</v>
      </c>
      <c r="P27" s="26">
        <f t="shared" si="112"/>
        <v>0</v>
      </c>
      <c r="Q27" s="29"/>
      <c r="R27" s="29">
        <v>0</v>
      </c>
      <c r="S27" s="26">
        <f t="shared" si="113"/>
        <v>0</v>
      </c>
      <c r="T27" s="26">
        <f t="shared" si="113"/>
        <v>0</v>
      </c>
      <c r="U27" s="29"/>
      <c r="V27" s="29">
        <v>0</v>
      </c>
      <c r="W27" s="26">
        <f t="shared" si="114"/>
        <v>0</v>
      </c>
      <c r="X27" s="26">
        <f t="shared" si="114"/>
        <v>0</v>
      </c>
      <c r="Y27" s="29"/>
      <c r="Z27" s="29">
        <v>0</v>
      </c>
      <c r="AA27" s="26">
        <f t="shared" si="115"/>
        <v>0</v>
      </c>
      <c r="AB27" s="26">
        <f t="shared" si="115"/>
        <v>0</v>
      </c>
      <c r="AC27" s="29"/>
      <c r="AD27" s="29">
        <v>0</v>
      </c>
      <c r="AE27" s="26">
        <f t="shared" si="116"/>
        <v>0</v>
      </c>
      <c r="AF27" s="26">
        <f t="shared" si="116"/>
        <v>0</v>
      </c>
      <c r="AG27" s="26"/>
      <c r="AH27" s="29">
        <v>0</v>
      </c>
      <c r="AI27" s="26">
        <f t="shared" ref="AI27:AJ35" si="147">AE27+AG27</f>
        <v>0</v>
      </c>
      <c r="AJ27" s="26">
        <f t="shared" si="147"/>
        <v>0</v>
      </c>
      <c r="AK27" s="29"/>
      <c r="AL27" s="23"/>
      <c r="AM27" s="26">
        <f t="shared" ref="AM27:AN35" si="148">AI27+AK27</f>
        <v>0</v>
      </c>
      <c r="AN27" s="26">
        <f t="shared" si="148"/>
        <v>0</v>
      </c>
      <c r="AO27" s="29"/>
      <c r="AP27" s="29"/>
      <c r="AQ27" s="26">
        <f t="shared" ref="AQ27:AR35" si="149">AM27+AO27</f>
        <v>0</v>
      </c>
      <c r="AR27" s="26">
        <f t="shared" si="149"/>
        <v>0</v>
      </c>
      <c r="AS27" s="29">
        <v>0</v>
      </c>
      <c r="AT27" s="29">
        <v>0</v>
      </c>
      <c r="AU27" s="26">
        <f t="shared" ref="AU27:AV35" si="150">AQ27+AS27</f>
        <v>0</v>
      </c>
      <c r="AV27" s="26">
        <f t="shared" si="150"/>
        <v>0</v>
      </c>
      <c r="AW27" s="29">
        <v>0</v>
      </c>
      <c r="AX27" s="29">
        <v>0</v>
      </c>
      <c r="AY27" s="29">
        <v>2203</v>
      </c>
      <c r="AZ27" s="29">
        <v>2203</v>
      </c>
      <c r="BA27" s="55">
        <f t="shared" si="137"/>
        <v>1</v>
      </c>
      <c r="BB27" s="55">
        <f t="shared" si="137"/>
        <v>1</v>
      </c>
      <c r="BC27" s="29">
        <v>179</v>
      </c>
      <c r="BD27" s="29">
        <v>179</v>
      </c>
      <c r="BE27" s="29">
        <v>184</v>
      </c>
      <c r="BF27" s="29">
        <v>184</v>
      </c>
      <c r="BG27" s="26">
        <f t="shared" ref="BG27:BH35" si="151">BC27+BE27</f>
        <v>363</v>
      </c>
      <c r="BH27" s="26">
        <f t="shared" si="151"/>
        <v>363</v>
      </c>
      <c r="BI27" s="55">
        <f t="shared" si="22"/>
        <v>1</v>
      </c>
      <c r="BJ27" s="55">
        <f t="shared" si="22"/>
        <v>1</v>
      </c>
      <c r="BK27" s="29">
        <v>179</v>
      </c>
      <c r="BL27" s="29">
        <v>184</v>
      </c>
      <c r="BM27" s="26">
        <f t="shared" ref="BM27:BN35" si="152">BG27+BK27</f>
        <v>542</v>
      </c>
      <c r="BN27" s="26">
        <f t="shared" si="152"/>
        <v>547</v>
      </c>
      <c r="BO27" s="55">
        <f t="shared" si="24"/>
        <v>1</v>
      </c>
      <c r="BP27" s="55">
        <f t="shared" si="24"/>
        <v>1</v>
      </c>
      <c r="BQ27" s="29"/>
      <c r="BR27" s="29"/>
      <c r="BS27" s="26">
        <f t="shared" ref="BS27:BT35" si="153">BM27+BQ27</f>
        <v>542</v>
      </c>
      <c r="BT27" s="26">
        <f t="shared" si="153"/>
        <v>547</v>
      </c>
      <c r="BU27" s="55">
        <f t="shared" si="25"/>
        <v>1</v>
      </c>
      <c r="BV27" s="55">
        <f t="shared" si="25"/>
        <v>1</v>
      </c>
      <c r="BW27" s="29"/>
      <c r="BX27" s="29"/>
      <c r="BY27" s="26">
        <f t="shared" ref="BY27:BZ35" si="154">BS27+BW27</f>
        <v>542</v>
      </c>
      <c r="BZ27" s="26">
        <f t="shared" si="154"/>
        <v>547</v>
      </c>
      <c r="CA27" s="55">
        <f t="shared" si="27"/>
        <v>1</v>
      </c>
      <c r="CB27" s="55">
        <f t="shared" si="27"/>
        <v>1</v>
      </c>
      <c r="CC27" s="29"/>
      <c r="CD27" s="29"/>
      <c r="CE27" s="26">
        <f t="shared" ref="CE27:CF35" si="155">BY27+CC27</f>
        <v>542</v>
      </c>
      <c r="CF27" s="26">
        <f t="shared" si="155"/>
        <v>547</v>
      </c>
      <c r="CG27" s="55">
        <f t="shared" si="29"/>
        <v>1</v>
      </c>
      <c r="CH27" s="55">
        <f t="shared" si="29"/>
        <v>1</v>
      </c>
      <c r="CI27" s="29"/>
      <c r="CJ27" s="29"/>
      <c r="CK27" s="26">
        <f t="shared" ref="CK27:CL35" si="156">CE27+CI27</f>
        <v>542</v>
      </c>
      <c r="CL27" s="26">
        <f t="shared" si="156"/>
        <v>547</v>
      </c>
      <c r="CM27" s="55">
        <f t="shared" si="31"/>
        <v>1</v>
      </c>
      <c r="CN27" s="55">
        <f t="shared" si="31"/>
        <v>1</v>
      </c>
      <c r="CO27" s="29"/>
      <c r="CP27" s="29"/>
      <c r="CQ27" s="26">
        <f t="shared" ref="CQ27:CR35" si="157">CK27+CO27</f>
        <v>542</v>
      </c>
      <c r="CR27" s="26">
        <f t="shared" si="157"/>
        <v>547</v>
      </c>
      <c r="CS27" s="55">
        <f t="shared" si="33"/>
        <v>1</v>
      </c>
      <c r="CT27" s="55">
        <f t="shared" si="33"/>
        <v>1</v>
      </c>
      <c r="CU27" s="29"/>
      <c r="CV27" s="29"/>
      <c r="CW27" s="26">
        <f t="shared" ref="CW27:CX35" si="158">CQ27+CU27</f>
        <v>542</v>
      </c>
      <c r="CX27" s="26">
        <f t="shared" si="158"/>
        <v>547</v>
      </c>
      <c r="CY27" s="55">
        <f t="shared" si="35"/>
        <v>1</v>
      </c>
      <c r="CZ27" s="55">
        <f t="shared" si="35"/>
        <v>1</v>
      </c>
      <c r="DA27" s="29"/>
      <c r="DB27" s="29"/>
      <c r="DC27" s="26">
        <f t="shared" ref="DC27:DD35" si="159">CW27+DA27</f>
        <v>542</v>
      </c>
      <c r="DD27" s="26">
        <f t="shared" si="159"/>
        <v>547</v>
      </c>
      <c r="DE27" s="55">
        <f t="shared" si="37"/>
        <v>1</v>
      </c>
      <c r="DF27" s="55">
        <f t="shared" si="37"/>
        <v>1</v>
      </c>
      <c r="DG27" s="29"/>
      <c r="DH27" s="29"/>
      <c r="DI27" s="26">
        <f t="shared" ref="DI27:DJ35" si="160">DC27+DG27</f>
        <v>542</v>
      </c>
      <c r="DJ27" s="26">
        <f t="shared" si="160"/>
        <v>547</v>
      </c>
      <c r="DK27" s="55">
        <f t="shared" si="39"/>
        <v>1</v>
      </c>
      <c r="DL27" s="55">
        <f t="shared" si="39"/>
        <v>1</v>
      </c>
      <c r="DM27" s="29"/>
      <c r="DN27" s="29"/>
      <c r="DO27" s="29"/>
      <c r="DP27" s="29"/>
      <c r="DQ27" s="29">
        <f>AY27</f>
        <v>2203</v>
      </c>
      <c r="DR27" s="29">
        <f>AZ27</f>
        <v>2203</v>
      </c>
      <c r="DS27" s="55">
        <f>IF($AY$27=0,1,DQ27/$AY$27-1)</f>
        <v>0</v>
      </c>
      <c r="DT27" s="55">
        <f>IF($AZ$27=0,1,DR27/$AZ$27-1)</f>
        <v>0</v>
      </c>
      <c r="DU27" s="55">
        <f>IF($E$27=0,1,DQ27/$E$27-1)</f>
        <v>1</v>
      </c>
      <c r="DV27" s="55">
        <f>IF($E$27=0,1,DR27/$E$27-1)</f>
        <v>1</v>
      </c>
      <c r="DW27" s="25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</row>
    <row r="28" spans="1:268" s="64" customFormat="1" ht="18" customHeight="1">
      <c r="A28" s="321" t="s">
        <v>45</v>
      </c>
      <c r="B28" s="322"/>
      <c r="C28" s="29">
        <f>'[1]прогноз '!B35</f>
        <v>325162.8</v>
      </c>
      <c r="D28" s="29">
        <f>'[1]прогноз '!C35</f>
        <v>332462.25</v>
      </c>
      <c r="E28" s="26">
        <f t="shared" si="110"/>
        <v>320133.39999999997</v>
      </c>
      <c r="F28" s="29">
        <f t="shared" si="110"/>
        <v>320133.2</v>
      </c>
      <c r="G28" s="29">
        <v>17983.5</v>
      </c>
      <c r="H28" s="29">
        <v>17983.599999999999</v>
      </c>
      <c r="I28" s="29">
        <f>42139.1-G28</f>
        <v>24155.599999999999</v>
      </c>
      <c r="J28" s="29">
        <v>24155.5</v>
      </c>
      <c r="K28" s="26">
        <f t="shared" si="111"/>
        <v>42139.1</v>
      </c>
      <c r="L28" s="26">
        <f t="shared" si="111"/>
        <v>42139.1</v>
      </c>
      <c r="M28" s="29">
        <f>68553.9-G28-I28</f>
        <v>26414.799999999996</v>
      </c>
      <c r="N28" s="29">
        <v>26414.799999999999</v>
      </c>
      <c r="O28" s="26">
        <f t="shared" si="112"/>
        <v>68553.899999999994</v>
      </c>
      <c r="P28" s="26">
        <f t="shared" si="112"/>
        <v>68553.899999999994</v>
      </c>
      <c r="Q28" s="29">
        <f>96796.4-G28-I28-M28-2</f>
        <v>28240.5</v>
      </c>
      <c r="R28" s="29">
        <v>28242.5</v>
      </c>
      <c r="S28" s="26">
        <f t="shared" si="113"/>
        <v>96794.4</v>
      </c>
      <c r="T28" s="26">
        <f t="shared" si="113"/>
        <v>96796.4</v>
      </c>
      <c r="U28" s="29">
        <f>125484.3-G28-I28-M28-Q28</f>
        <v>28689.900000000016</v>
      </c>
      <c r="V28" s="29">
        <v>28687.9</v>
      </c>
      <c r="W28" s="26">
        <f t="shared" si="114"/>
        <v>125484.30000000002</v>
      </c>
      <c r="X28" s="26">
        <f t="shared" si="114"/>
        <v>125484.29999999999</v>
      </c>
      <c r="Y28" s="29">
        <f>170131.8-G28-I28-M28-Q28-U28</f>
        <v>44647.499999999978</v>
      </c>
      <c r="Z28" s="29">
        <v>44647.5</v>
      </c>
      <c r="AA28" s="26">
        <f t="shared" si="115"/>
        <v>170131.8</v>
      </c>
      <c r="AB28" s="26">
        <f t="shared" si="115"/>
        <v>170131.8</v>
      </c>
      <c r="AC28" s="29">
        <v>24951.599999999999</v>
      </c>
      <c r="AD28" s="29">
        <v>24951.599999999999</v>
      </c>
      <c r="AE28" s="26">
        <f t="shared" si="116"/>
        <v>195083.4</v>
      </c>
      <c r="AF28" s="26">
        <f t="shared" si="116"/>
        <v>195083.4</v>
      </c>
      <c r="AG28" s="26">
        <f>208447.4-G28-I28-M28-Q28-U28-Y28-AC28</f>
        <v>13364</v>
      </c>
      <c r="AH28" s="29">
        <f>208447.4-H28-J28-N28-R28-V28-Z28-AD28</f>
        <v>13364.000000000007</v>
      </c>
      <c r="AI28" s="26">
        <f t="shared" si="147"/>
        <v>208447.4</v>
      </c>
      <c r="AJ28" s="26">
        <f t="shared" si="147"/>
        <v>208447.4</v>
      </c>
      <c r="AK28" s="29">
        <f>228225.8-G28-I28-M28-Q28-U28-Y28-AC28-AG28</f>
        <v>19778.399999999994</v>
      </c>
      <c r="AL28" s="23">
        <f>228225.8-H28-J28-N28-R28-V28-Z28-AD28-AH28</f>
        <v>19778.399999999994</v>
      </c>
      <c r="AM28" s="26">
        <f t="shared" si="148"/>
        <v>228225.8</v>
      </c>
      <c r="AN28" s="26">
        <f t="shared" si="148"/>
        <v>228225.8</v>
      </c>
      <c r="AO28" s="29">
        <f>255143.1-G28-I28-M28-Q28-U28-Y28-AC28-AG28-AK28</f>
        <v>26917.300000000025</v>
      </c>
      <c r="AP28" s="29">
        <f>255143.1-H28-J28-N28-R28-V28-Z28-AD28-AH28-AL28</f>
        <v>26917.300000000017</v>
      </c>
      <c r="AQ28" s="26">
        <f t="shared" si="149"/>
        <v>255143.1</v>
      </c>
      <c r="AR28" s="26">
        <f t="shared" si="149"/>
        <v>255143.1</v>
      </c>
      <c r="AS28" s="29">
        <v>23445</v>
      </c>
      <c r="AT28" s="29">
        <v>23444.799999999999</v>
      </c>
      <c r="AU28" s="26">
        <f t="shared" si="150"/>
        <v>278588.09999999998</v>
      </c>
      <c r="AV28" s="26">
        <f t="shared" si="150"/>
        <v>278587.90000000002</v>
      </c>
      <c r="AW28" s="29">
        <v>41545.300000000003</v>
      </c>
      <c r="AX28" s="29">
        <v>41545.300000000003</v>
      </c>
      <c r="AY28" s="29">
        <v>299503.2</v>
      </c>
      <c r="AZ28" s="29">
        <v>299503.2</v>
      </c>
      <c r="BA28" s="55">
        <f t="shared" si="137"/>
        <v>-6.4442510528423314E-2</v>
      </c>
      <c r="BB28" s="55">
        <f t="shared" si="137"/>
        <v>-6.4441926048282361E-2</v>
      </c>
      <c r="BC28" s="29">
        <v>12232.5</v>
      </c>
      <c r="BD28" s="29">
        <v>12232.5</v>
      </c>
      <c r="BE28" s="29">
        <v>27281.9</v>
      </c>
      <c r="BF28" s="29">
        <v>27281.9</v>
      </c>
      <c r="BG28" s="26">
        <f t="shared" si="151"/>
        <v>39514.400000000001</v>
      </c>
      <c r="BH28" s="26">
        <f t="shared" si="151"/>
        <v>39514.400000000001</v>
      </c>
      <c r="BI28" s="55">
        <f t="shared" si="22"/>
        <v>-6.2286569955219639E-2</v>
      </c>
      <c r="BJ28" s="55">
        <f t="shared" si="22"/>
        <v>-6.2286569955219639E-2</v>
      </c>
      <c r="BK28" s="29">
        <v>28521</v>
      </c>
      <c r="BL28" s="29">
        <v>26642.2</v>
      </c>
      <c r="BM28" s="26">
        <f t="shared" si="152"/>
        <v>68035.399999999994</v>
      </c>
      <c r="BN28" s="26">
        <f t="shared" si="152"/>
        <v>66156.600000000006</v>
      </c>
      <c r="BO28" s="55">
        <f t="shared" si="24"/>
        <v>-7.5633917253431493E-3</v>
      </c>
      <c r="BP28" s="55">
        <f t="shared" si="24"/>
        <v>-3.4969564094821548E-2</v>
      </c>
      <c r="BQ28" s="29"/>
      <c r="BR28" s="29"/>
      <c r="BS28" s="26">
        <f t="shared" si="153"/>
        <v>68035.399999999994</v>
      </c>
      <c r="BT28" s="26">
        <f t="shared" si="153"/>
        <v>66156.600000000006</v>
      </c>
      <c r="BU28" s="55">
        <f t="shared" si="25"/>
        <v>-0.29711429586835603</v>
      </c>
      <c r="BV28" s="55">
        <f t="shared" si="25"/>
        <v>-0.31653863160200157</v>
      </c>
      <c r="BW28" s="29"/>
      <c r="BX28" s="29"/>
      <c r="BY28" s="26">
        <f t="shared" si="154"/>
        <v>68035.399999999994</v>
      </c>
      <c r="BZ28" s="26">
        <f t="shared" si="154"/>
        <v>66156.600000000006</v>
      </c>
      <c r="CA28" s="55">
        <f t="shared" si="27"/>
        <v>-0.45781743214091342</v>
      </c>
      <c r="CB28" s="55">
        <f t="shared" si="27"/>
        <v>-0.47278982310934503</v>
      </c>
      <c r="CC28" s="29"/>
      <c r="CD28" s="29"/>
      <c r="CE28" s="26">
        <f t="shared" si="155"/>
        <v>68035.399999999994</v>
      </c>
      <c r="CF28" s="26">
        <f t="shared" si="155"/>
        <v>66156.600000000006</v>
      </c>
      <c r="CG28" s="55">
        <f t="shared" si="29"/>
        <v>-0.60010180342534436</v>
      </c>
      <c r="CH28" s="55">
        <f t="shared" si="29"/>
        <v>-0.61114500640091962</v>
      </c>
      <c r="CI28" s="29"/>
      <c r="CJ28" s="29"/>
      <c r="CK28" s="26">
        <f t="shared" si="156"/>
        <v>68035.399999999994</v>
      </c>
      <c r="CL28" s="26">
        <f t="shared" si="156"/>
        <v>66156.600000000006</v>
      </c>
      <c r="CM28" s="55">
        <f t="shared" si="31"/>
        <v>-0.65124967065367945</v>
      </c>
      <c r="CN28" s="55">
        <f t="shared" si="31"/>
        <v>-0.66088042344966302</v>
      </c>
      <c r="CO28" s="29"/>
      <c r="CP28" s="29"/>
      <c r="CQ28" s="26">
        <f t="shared" si="157"/>
        <v>68035.399999999994</v>
      </c>
      <c r="CR28" s="26">
        <f t="shared" si="157"/>
        <v>66156.600000000006</v>
      </c>
      <c r="CS28" s="55">
        <f t="shared" si="33"/>
        <v>-0.67360878571764382</v>
      </c>
      <c r="CT28" s="55">
        <f t="shared" si="33"/>
        <v>-0.68262209075287095</v>
      </c>
      <c r="CU28" s="29"/>
      <c r="CV28" s="29"/>
      <c r="CW28" s="26">
        <f t="shared" si="158"/>
        <v>68035.399999999994</v>
      </c>
      <c r="CX28" s="26">
        <f t="shared" si="158"/>
        <v>66156.600000000006</v>
      </c>
      <c r="CY28" s="55">
        <f t="shared" si="35"/>
        <v>-0.70189435199701355</v>
      </c>
      <c r="CZ28" s="55">
        <f t="shared" si="35"/>
        <v>-0.71012655010958436</v>
      </c>
      <c r="DA28" s="29"/>
      <c r="DB28" s="29"/>
      <c r="DC28" s="26">
        <f t="shared" si="159"/>
        <v>68035.399999999994</v>
      </c>
      <c r="DD28" s="26">
        <f t="shared" si="159"/>
        <v>66156.600000000006</v>
      </c>
      <c r="DE28" s="55">
        <f t="shared" si="37"/>
        <v>-0.73334415079224169</v>
      </c>
      <c r="DF28" s="55">
        <f t="shared" si="37"/>
        <v>-0.74070786158826163</v>
      </c>
      <c r="DG28" s="29"/>
      <c r="DH28" s="29"/>
      <c r="DI28" s="26">
        <f t="shared" si="160"/>
        <v>68035.399999999994</v>
      </c>
      <c r="DJ28" s="26">
        <f t="shared" si="160"/>
        <v>66156.600000000006</v>
      </c>
      <c r="DK28" s="55">
        <f t="shared" si="39"/>
        <v>-0.75578497430435831</v>
      </c>
      <c r="DL28" s="55">
        <f t="shared" si="39"/>
        <v>-0.76252881047597543</v>
      </c>
      <c r="DM28" s="29"/>
      <c r="DN28" s="29"/>
      <c r="DO28" s="29"/>
      <c r="DP28" s="29"/>
      <c r="DQ28" s="29">
        <f t="shared" ref="DQ28:DR34" si="161">AY28</f>
        <v>299503.2</v>
      </c>
      <c r="DR28" s="29">
        <f t="shared" si="161"/>
        <v>299503.2</v>
      </c>
      <c r="DS28" s="55">
        <f>IF($AY$28=0,1,DQ28/$AY$28-1)</f>
        <v>0</v>
      </c>
      <c r="DT28" s="55">
        <f>IF($AZ$28=0,1,DR28/$AZ$28-1)</f>
        <v>0</v>
      </c>
      <c r="DU28" s="55">
        <f>IF($E$28=0,1,DQ28/$E$28-1)</f>
        <v>-6.4442510528423314E-2</v>
      </c>
      <c r="DV28" s="55">
        <f>IF($E$28=0,1,DR28/$E$28-1)</f>
        <v>-6.4442510528423314E-2</v>
      </c>
      <c r="DW28" s="25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321" t="s">
        <v>91</v>
      </c>
      <c r="B29" s="322"/>
      <c r="C29" s="29">
        <f>'[1]прогноз '!B36</f>
        <v>7372</v>
      </c>
      <c r="D29" s="29">
        <f>'[1]прогноз '!C36</f>
        <v>7372</v>
      </c>
      <c r="E29" s="26">
        <f t="shared" si="110"/>
        <v>8736</v>
      </c>
      <c r="F29" s="29">
        <f t="shared" si="110"/>
        <v>8736</v>
      </c>
      <c r="G29" s="30">
        <v>619</v>
      </c>
      <c r="H29" s="30">
        <v>619</v>
      </c>
      <c r="I29" s="30">
        <v>619</v>
      </c>
      <c r="J29" s="30">
        <v>619</v>
      </c>
      <c r="K29" s="26">
        <f t="shared" si="111"/>
        <v>1238</v>
      </c>
      <c r="L29" s="26">
        <f t="shared" si="111"/>
        <v>1238</v>
      </c>
      <c r="M29" s="30">
        <v>619</v>
      </c>
      <c r="N29" s="30">
        <v>619</v>
      </c>
      <c r="O29" s="26">
        <f t="shared" si="112"/>
        <v>1857</v>
      </c>
      <c r="P29" s="26">
        <f t="shared" si="112"/>
        <v>1857</v>
      </c>
      <c r="Q29" s="30">
        <v>1055</v>
      </c>
      <c r="R29" s="30">
        <v>1055</v>
      </c>
      <c r="S29" s="26">
        <f t="shared" si="113"/>
        <v>2912</v>
      </c>
      <c r="T29" s="26">
        <f t="shared" si="113"/>
        <v>2912</v>
      </c>
      <c r="U29" s="30">
        <v>728</v>
      </c>
      <c r="V29" s="30">
        <v>728</v>
      </c>
      <c r="W29" s="26">
        <f t="shared" si="114"/>
        <v>3640</v>
      </c>
      <c r="X29" s="26">
        <f t="shared" si="114"/>
        <v>3640</v>
      </c>
      <c r="Y29" s="30">
        <v>728</v>
      </c>
      <c r="Z29" s="30">
        <v>728</v>
      </c>
      <c r="AA29" s="26">
        <f t="shared" si="115"/>
        <v>4368</v>
      </c>
      <c r="AB29" s="26">
        <f t="shared" si="115"/>
        <v>4368</v>
      </c>
      <c r="AC29" s="30">
        <v>728</v>
      </c>
      <c r="AD29" s="30">
        <v>728</v>
      </c>
      <c r="AE29" s="26">
        <f t="shared" si="116"/>
        <v>5096</v>
      </c>
      <c r="AF29" s="26">
        <f t="shared" si="116"/>
        <v>5096</v>
      </c>
      <c r="AG29" s="26">
        <v>728</v>
      </c>
      <c r="AH29" s="30">
        <v>728</v>
      </c>
      <c r="AI29" s="26">
        <f t="shared" si="147"/>
        <v>5824</v>
      </c>
      <c r="AJ29" s="26">
        <f t="shared" si="147"/>
        <v>5824</v>
      </c>
      <c r="AK29" s="30">
        <v>728</v>
      </c>
      <c r="AL29" s="23">
        <v>728</v>
      </c>
      <c r="AM29" s="26">
        <f t="shared" si="148"/>
        <v>6552</v>
      </c>
      <c r="AN29" s="26">
        <f t="shared" si="148"/>
        <v>6552</v>
      </c>
      <c r="AO29" s="30">
        <v>728</v>
      </c>
      <c r="AP29" s="30">
        <v>728</v>
      </c>
      <c r="AQ29" s="26">
        <f t="shared" si="149"/>
        <v>7280</v>
      </c>
      <c r="AR29" s="26">
        <f t="shared" si="149"/>
        <v>7280</v>
      </c>
      <c r="AS29" s="30">
        <v>728</v>
      </c>
      <c r="AT29" s="30">
        <v>728</v>
      </c>
      <c r="AU29" s="26">
        <f t="shared" si="150"/>
        <v>8008</v>
      </c>
      <c r="AV29" s="26">
        <f t="shared" si="150"/>
        <v>8008</v>
      </c>
      <c r="AW29" s="30">
        <v>728</v>
      </c>
      <c r="AX29" s="30">
        <v>728</v>
      </c>
      <c r="AY29" s="30">
        <v>8074</v>
      </c>
      <c r="AZ29" s="30">
        <v>8074</v>
      </c>
      <c r="BA29" s="55">
        <f t="shared" si="137"/>
        <v>-7.5778388278388231E-2</v>
      </c>
      <c r="BB29" s="55">
        <f t="shared" si="137"/>
        <v>-7.5778388278388231E-2</v>
      </c>
      <c r="BC29" s="30">
        <v>671</v>
      </c>
      <c r="BD29" s="30">
        <v>671</v>
      </c>
      <c r="BE29" s="30">
        <v>673</v>
      </c>
      <c r="BF29" s="30">
        <v>673</v>
      </c>
      <c r="BG29" s="26">
        <f t="shared" si="151"/>
        <v>1344</v>
      </c>
      <c r="BH29" s="26">
        <f t="shared" si="151"/>
        <v>1344</v>
      </c>
      <c r="BI29" s="55">
        <f t="shared" si="22"/>
        <v>8.5621970920840118E-2</v>
      </c>
      <c r="BJ29" s="55">
        <f t="shared" si="22"/>
        <v>8.5621970920840118E-2</v>
      </c>
      <c r="BK29" s="30">
        <v>671</v>
      </c>
      <c r="BL29" s="30">
        <v>671</v>
      </c>
      <c r="BM29" s="26">
        <f t="shared" si="152"/>
        <v>2015</v>
      </c>
      <c r="BN29" s="26">
        <f t="shared" si="152"/>
        <v>2015</v>
      </c>
      <c r="BO29" s="55">
        <f t="shared" si="24"/>
        <v>8.5083467959073733E-2</v>
      </c>
      <c r="BP29" s="55">
        <f t="shared" si="24"/>
        <v>8.5083467959073733E-2</v>
      </c>
      <c r="BQ29" s="30"/>
      <c r="BR29" s="30"/>
      <c r="BS29" s="26">
        <f t="shared" si="153"/>
        <v>2015</v>
      </c>
      <c r="BT29" s="26">
        <f t="shared" si="153"/>
        <v>2015</v>
      </c>
      <c r="BU29" s="55">
        <f t="shared" si="25"/>
        <v>-0.3080357142857143</v>
      </c>
      <c r="BV29" s="55">
        <f t="shared" si="25"/>
        <v>-0.3080357142857143</v>
      </c>
      <c r="BW29" s="30"/>
      <c r="BX29" s="30"/>
      <c r="BY29" s="26">
        <f t="shared" si="154"/>
        <v>2015</v>
      </c>
      <c r="BZ29" s="26">
        <f t="shared" si="154"/>
        <v>2015</v>
      </c>
      <c r="CA29" s="55">
        <f t="shared" si="27"/>
        <v>-0.4464285714285714</v>
      </c>
      <c r="CB29" s="55">
        <f t="shared" si="27"/>
        <v>-0.4464285714285714</v>
      </c>
      <c r="CC29" s="30"/>
      <c r="CD29" s="30"/>
      <c r="CE29" s="26">
        <f t="shared" si="155"/>
        <v>2015</v>
      </c>
      <c r="CF29" s="26">
        <f t="shared" si="155"/>
        <v>2015</v>
      </c>
      <c r="CG29" s="55">
        <f t="shared" si="29"/>
        <v>-0.53869047619047616</v>
      </c>
      <c r="CH29" s="55">
        <f t="shared" si="29"/>
        <v>-0.53869047619047616</v>
      </c>
      <c r="CI29" s="30"/>
      <c r="CJ29" s="30"/>
      <c r="CK29" s="26">
        <f t="shared" si="156"/>
        <v>2015</v>
      </c>
      <c r="CL29" s="26">
        <f t="shared" si="156"/>
        <v>2015</v>
      </c>
      <c r="CM29" s="55">
        <f t="shared" si="31"/>
        <v>-0.60459183673469385</v>
      </c>
      <c r="CN29" s="55">
        <f t="shared" si="31"/>
        <v>-0.60459183673469385</v>
      </c>
      <c r="CO29" s="30"/>
      <c r="CP29" s="30"/>
      <c r="CQ29" s="26">
        <f t="shared" si="157"/>
        <v>2015</v>
      </c>
      <c r="CR29" s="26">
        <f t="shared" si="157"/>
        <v>2015</v>
      </c>
      <c r="CS29" s="55">
        <f t="shared" si="33"/>
        <v>-0.65401785714285721</v>
      </c>
      <c r="CT29" s="55">
        <f t="shared" si="33"/>
        <v>-0.65401785714285721</v>
      </c>
      <c r="CU29" s="30"/>
      <c r="CV29" s="30"/>
      <c r="CW29" s="26">
        <f t="shared" si="158"/>
        <v>2015</v>
      </c>
      <c r="CX29" s="26">
        <f t="shared" si="158"/>
        <v>2015</v>
      </c>
      <c r="CY29" s="55">
        <f t="shared" si="35"/>
        <v>-0.69246031746031744</v>
      </c>
      <c r="CZ29" s="55">
        <f t="shared" si="35"/>
        <v>-0.69246031746031744</v>
      </c>
      <c r="DA29" s="30"/>
      <c r="DB29" s="30"/>
      <c r="DC29" s="26">
        <f t="shared" si="159"/>
        <v>2015</v>
      </c>
      <c r="DD29" s="26">
        <f t="shared" si="159"/>
        <v>2015</v>
      </c>
      <c r="DE29" s="55">
        <f t="shared" si="37"/>
        <v>-0.7232142857142857</v>
      </c>
      <c r="DF29" s="55">
        <f t="shared" si="37"/>
        <v>-0.7232142857142857</v>
      </c>
      <c r="DG29" s="30"/>
      <c r="DH29" s="30"/>
      <c r="DI29" s="26">
        <f t="shared" si="160"/>
        <v>2015</v>
      </c>
      <c r="DJ29" s="26">
        <f t="shared" si="160"/>
        <v>2015</v>
      </c>
      <c r="DK29" s="55">
        <f t="shared" si="39"/>
        <v>-0.74837662337662336</v>
      </c>
      <c r="DL29" s="55">
        <f t="shared" si="39"/>
        <v>-0.74837662337662336</v>
      </c>
      <c r="DM29" s="30"/>
      <c r="DN29" s="30"/>
      <c r="DO29" s="30"/>
      <c r="DP29" s="30"/>
      <c r="DQ29" s="29">
        <f t="shared" si="161"/>
        <v>8074</v>
      </c>
      <c r="DR29" s="29">
        <f t="shared" si="161"/>
        <v>8074</v>
      </c>
      <c r="DS29" s="55">
        <f>IF($AY$29=0,1,DQ29/$AY$29-1)</f>
        <v>0</v>
      </c>
      <c r="DT29" s="55">
        <f>IF($AZ$29=0,1,DR29/$AZ$29-1)</f>
        <v>0</v>
      </c>
      <c r="DU29" s="55">
        <f>IF($E$29=0,1,DQ29/$E$29-1)</f>
        <v>-7.5778388278388231E-2</v>
      </c>
      <c r="DV29" s="55">
        <f>IF($E$29=0,1,DR29/$E$29-1)</f>
        <v>-7.5778388278388231E-2</v>
      </c>
      <c r="DW29" s="25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321" t="s">
        <v>46</v>
      </c>
      <c r="B30" s="322"/>
      <c r="C30" s="29">
        <f>'[1]прогноз '!B37</f>
        <v>33469</v>
      </c>
      <c r="D30" s="29">
        <f>'[1]прогноз '!C37</f>
        <v>33469.231</v>
      </c>
      <c r="E30" s="26">
        <f t="shared" si="110"/>
        <v>48359.100000000006</v>
      </c>
      <c r="F30" s="29">
        <f t="shared" si="110"/>
        <v>48359.100000000006</v>
      </c>
      <c r="G30" s="30">
        <v>0</v>
      </c>
      <c r="H30" s="30">
        <v>0</v>
      </c>
      <c r="I30" s="30">
        <v>0</v>
      </c>
      <c r="J30" s="30">
        <v>0</v>
      </c>
      <c r="K30" s="26">
        <f t="shared" si="111"/>
        <v>0</v>
      </c>
      <c r="L30" s="26">
        <f t="shared" si="111"/>
        <v>0</v>
      </c>
      <c r="M30" s="30">
        <v>1420.6</v>
      </c>
      <c r="N30" s="30">
        <v>1420.6</v>
      </c>
      <c r="O30" s="26">
        <f t="shared" si="112"/>
        <v>1420.6</v>
      </c>
      <c r="P30" s="26">
        <f t="shared" si="112"/>
        <v>1420.6</v>
      </c>
      <c r="Q30" s="30">
        <f>2910.3-M30</f>
        <v>1489.7000000000003</v>
      </c>
      <c r="R30" s="30">
        <v>1489.7</v>
      </c>
      <c r="S30" s="26">
        <f t="shared" si="113"/>
        <v>2910.3</v>
      </c>
      <c r="T30" s="26">
        <f t="shared" si="113"/>
        <v>2910.3</v>
      </c>
      <c r="U30" s="30">
        <f>3909.4-M30-Q30</f>
        <v>999.09999999999991</v>
      </c>
      <c r="V30" s="30">
        <v>999.1</v>
      </c>
      <c r="W30" s="26">
        <f t="shared" si="114"/>
        <v>3909.4</v>
      </c>
      <c r="X30" s="26">
        <f t="shared" si="114"/>
        <v>3909.4</v>
      </c>
      <c r="Y30" s="30">
        <f>22020.3-M30-Q30-U30</f>
        <v>18110.900000000001</v>
      </c>
      <c r="Z30" s="30">
        <v>18110.900000000001</v>
      </c>
      <c r="AA30" s="26">
        <f t="shared" si="115"/>
        <v>22020.300000000003</v>
      </c>
      <c r="AB30" s="26">
        <f t="shared" si="115"/>
        <v>22020.300000000003</v>
      </c>
      <c r="AC30" s="30">
        <v>425</v>
      </c>
      <c r="AD30" s="30">
        <v>425.2</v>
      </c>
      <c r="AE30" s="26">
        <f t="shared" si="116"/>
        <v>22445.300000000003</v>
      </c>
      <c r="AF30" s="26">
        <f t="shared" si="116"/>
        <v>22445.500000000004</v>
      </c>
      <c r="AG30" s="26">
        <f>23462-M30-Q30-U30-Y30-AC30</f>
        <v>1016.7000000000007</v>
      </c>
      <c r="AH30" s="30">
        <f>23462-N30-R30-V30-Z30-AD30</f>
        <v>1016.5000000000007</v>
      </c>
      <c r="AI30" s="26">
        <f t="shared" si="147"/>
        <v>23462.000000000004</v>
      </c>
      <c r="AJ30" s="26">
        <f t="shared" si="147"/>
        <v>23462.000000000004</v>
      </c>
      <c r="AK30" s="30">
        <f>28033.3-G30-I30-M30-Q30-U30-Y30-AC30-AG30</f>
        <v>4571.2999999999993</v>
      </c>
      <c r="AL30" s="23">
        <f>28033.3-H30-J30-N30-R30-V30-Z30-AD30-AH30</f>
        <v>4571.2999999999993</v>
      </c>
      <c r="AM30" s="26">
        <f t="shared" si="148"/>
        <v>28033.300000000003</v>
      </c>
      <c r="AN30" s="26">
        <f t="shared" si="148"/>
        <v>28033.300000000003</v>
      </c>
      <c r="AO30" s="30">
        <f>31305.4-G30-I30-M30-Q30-U30-Y30-AC30-AG30-AK30</f>
        <v>3272.1000000000022</v>
      </c>
      <c r="AP30" s="30">
        <f>31305.4-H30-J30-N30-R30-V30-Z30-AD30-AH30-AL30</f>
        <v>3272.1000000000013</v>
      </c>
      <c r="AQ30" s="26">
        <f t="shared" si="149"/>
        <v>31305.400000000005</v>
      </c>
      <c r="AR30" s="26">
        <f t="shared" si="149"/>
        <v>31305.400000000005</v>
      </c>
      <c r="AS30" s="30">
        <v>3303</v>
      </c>
      <c r="AT30" s="30">
        <v>3303</v>
      </c>
      <c r="AU30" s="26">
        <f t="shared" si="150"/>
        <v>34608.400000000009</v>
      </c>
      <c r="AV30" s="26">
        <f t="shared" si="150"/>
        <v>34608.400000000009</v>
      </c>
      <c r="AW30" s="30">
        <v>13750.7</v>
      </c>
      <c r="AX30" s="30">
        <v>13750.7</v>
      </c>
      <c r="AY30" s="30">
        <v>21354</v>
      </c>
      <c r="AZ30" s="30">
        <v>21354</v>
      </c>
      <c r="BA30" s="55">
        <f t="shared" si="137"/>
        <v>-0.55842850673399635</v>
      </c>
      <c r="BB30" s="55">
        <f t="shared" si="137"/>
        <v>-0.55842850673399635</v>
      </c>
      <c r="BC30" s="30">
        <v>0</v>
      </c>
      <c r="BD30" s="30">
        <v>0</v>
      </c>
      <c r="BE30" s="30">
        <v>0</v>
      </c>
      <c r="BF30" s="30">
        <v>0</v>
      </c>
      <c r="BG30" s="26">
        <f t="shared" si="151"/>
        <v>0</v>
      </c>
      <c r="BH30" s="26">
        <f t="shared" si="151"/>
        <v>0</v>
      </c>
      <c r="BI30" s="55">
        <f t="shared" si="22"/>
        <v>1</v>
      </c>
      <c r="BJ30" s="55">
        <f t="shared" si="22"/>
        <v>1</v>
      </c>
      <c r="BK30" s="30">
        <v>0</v>
      </c>
      <c r="BL30" s="30">
        <v>1267.5999999999999</v>
      </c>
      <c r="BM30" s="26">
        <f t="shared" si="152"/>
        <v>0</v>
      </c>
      <c r="BN30" s="26">
        <f t="shared" si="152"/>
        <v>1267.5999999999999</v>
      </c>
      <c r="BO30" s="55">
        <f t="shared" si="24"/>
        <v>-1</v>
      </c>
      <c r="BP30" s="55">
        <f t="shared" si="24"/>
        <v>-0.10770097142052659</v>
      </c>
      <c r="BQ30" s="30"/>
      <c r="BR30" s="30"/>
      <c r="BS30" s="26">
        <f t="shared" si="153"/>
        <v>0</v>
      </c>
      <c r="BT30" s="26">
        <f t="shared" si="153"/>
        <v>1267.5999999999999</v>
      </c>
      <c r="BU30" s="55">
        <f t="shared" si="25"/>
        <v>-1</v>
      </c>
      <c r="BV30" s="55">
        <f t="shared" si="25"/>
        <v>-0.5644435281586091</v>
      </c>
      <c r="BW30" s="30"/>
      <c r="BX30" s="30"/>
      <c r="BY30" s="26">
        <f t="shared" si="154"/>
        <v>0</v>
      </c>
      <c r="BZ30" s="26">
        <f t="shared" si="154"/>
        <v>1267.5999999999999</v>
      </c>
      <c r="CA30" s="55">
        <f t="shared" si="27"/>
        <v>-1</v>
      </c>
      <c r="CB30" s="55">
        <f t="shared" si="27"/>
        <v>-0.67575587046605623</v>
      </c>
      <c r="CC30" s="30"/>
      <c r="CD30" s="30"/>
      <c r="CE30" s="26">
        <f t="shared" si="155"/>
        <v>0</v>
      </c>
      <c r="CF30" s="26">
        <f t="shared" si="155"/>
        <v>1267.5999999999999</v>
      </c>
      <c r="CG30" s="55">
        <f t="shared" si="29"/>
        <v>-1</v>
      </c>
      <c r="CH30" s="55">
        <f t="shared" si="29"/>
        <v>-0.94243493503721565</v>
      </c>
      <c r="CI30" s="30"/>
      <c r="CJ30" s="30"/>
      <c r="CK30" s="26">
        <f t="shared" si="156"/>
        <v>0</v>
      </c>
      <c r="CL30" s="26">
        <f t="shared" si="156"/>
        <v>1267.5999999999999</v>
      </c>
      <c r="CM30" s="55">
        <f t="shared" si="31"/>
        <v>-1</v>
      </c>
      <c r="CN30" s="55">
        <f t="shared" si="31"/>
        <v>-0.94352542825956209</v>
      </c>
      <c r="CO30" s="30"/>
      <c r="CP30" s="30"/>
      <c r="CQ30" s="26">
        <f t="shared" si="157"/>
        <v>0</v>
      </c>
      <c r="CR30" s="26">
        <f t="shared" si="157"/>
        <v>1267.5999999999999</v>
      </c>
      <c r="CS30" s="55">
        <f t="shared" si="33"/>
        <v>-1</v>
      </c>
      <c r="CT30" s="55">
        <f t="shared" si="33"/>
        <v>-0.94597221038274659</v>
      </c>
      <c r="CU30" s="30"/>
      <c r="CV30" s="30"/>
      <c r="CW30" s="26">
        <f t="shared" si="158"/>
        <v>0</v>
      </c>
      <c r="CX30" s="26">
        <f t="shared" si="158"/>
        <v>1267.5999999999999</v>
      </c>
      <c r="CY30" s="55">
        <f t="shared" si="35"/>
        <v>-1</v>
      </c>
      <c r="CZ30" s="55">
        <f t="shared" si="35"/>
        <v>-0.95478234813596685</v>
      </c>
      <c r="DA30" s="30"/>
      <c r="DB30" s="30"/>
      <c r="DC30" s="26">
        <f t="shared" si="159"/>
        <v>0</v>
      </c>
      <c r="DD30" s="26">
        <f t="shared" si="159"/>
        <v>1267.5999999999999</v>
      </c>
      <c r="DE30" s="55">
        <f t="shared" si="37"/>
        <v>-1</v>
      </c>
      <c r="DF30" s="55">
        <f t="shared" si="37"/>
        <v>-0.95950858318373189</v>
      </c>
      <c r="DG30" s="30"/>
      <c r="DH30" s="30"/>
      <c r="DI30" s="26">
        <f t="shared" si="160"/>
        <v>0</v>
      </c>
      <c r="DJ30" s="26">
        <f t="shared" si="160"/>
        <v>1267.5999999999999</v>
      </c>
      <c r="DK30" s="55">
        <f t="shared" si="39"/>
        <v>-1</v>
      </c>
      <c r="DL30" s="55">
        <f t="shared" si="39"/>
        <v>-0.96337305394066186</v>
      </c>
      <c r="DM30" s="30"/>
      <c r="DN30" s="30"/>
      <c r="DO30" s="30"/>
      <c r="DP30" s="30"/>
      <c r="DQ30" s="29">
        <f t="shared" si="161"/>
        <v>21354</v>
      </c>
      <c r="DR30" s="29">
        <f t="shared" si="161"/>
        <v>21354</v>
      </c>
      <c r="DS30" s="55">
        <f>IF($AY$30=0,1,DQ30/$AY$30-1)</f>
        <v>0</v>
      </c>
      <c r="DT30" s="55">
        <f>IF($AZ$30=0,1,DR30/$AZ$30-1)</f>
        <v>0</v>
      </c>
      <c r="DU30" s="55">
        <f>IF($E$30=0,1,DQ30/$E$30-1)</f>
        <v>-0.55842850673399635</v>
      </c>
      <c r="DV30" s="55">
        <f>IF($E$30=0,1,DR30/$E$30-1)</f>
        <v>-0.55842850673399635</v>
      </c>
      <c r="DW30" s="25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321" t="s">
        <v>92</v>
      </c>
      <c r="B31" s="322"/>
      <c r="C31" s="29">
        <f>'[1]прогноз '!B38</f>
        <v>16834</v>
      </c>
      <c r="D31" s="29">
        <f>'[1]прогноз '!C38</f>
        <v>16833.671999999999</v>
      </c>
      <c r="E31" s="26">
        <f t="shared" si="110"/>
        <v>3934</v>
      </c>
      <c r="F31" s="29">
        <f t="shared" si="110"/>
        <v>3934</v>
      </c>
      <c r="G31" s="30">
        <v>0</v>
      </c>
      <c r="H31" s="30">
        <v>0</v>
      </c>
      <c r="I31" s="30">
        <v>0</v>
      </c>
      <c r="J31" s="30">
        <v>0</v>
      </c>
      <c r="K31" s="26">
        <f t="shared" si="111"/>
        <v>0</v>
      </c>
      <c r="L31" s="26">
        <f t="shared" si="111"/>
        <v>0</v>
      </c>
      <c r="M31" s="30">
        <v>450</v>
      </c>
      <c r="N31" s="30">
        <v>450</v>
      </c>
      <c r="O31" s="26">
        <f t="shared" si="112"/>
        <v>450</v>
      </c>
      <c r="P31" s="26">
        <f t="shared" si="112"/>
        <v>450</v>
      </c>
      <c r="Q31" s="30">
        <v>149</v>
      </c>
      <c r="R31" s="30">
        <v>149</v>
      </c>
      <c r="S31" s="26">
        <f t="shared" si="113"/>
        <v>599</v>
      </c>
      <c r="T31" s="26">
        <f t="shared" si="113"/>
        <v>599</v>
      </c>
      <c r="U31" s="30">
        <v>0</v>
      </c>
      <c r="V31" s="30">
        <v>0</v>
      </c>
      <c r="W31" s="26">
        <f t="shared" si="114"/>
        <v>599</v>
      </c>
      <c r="X31" s="26">
        <f t="shared" si="114"/>
        <v>599</v>
      </c>
      <c r="Y31" s="30">
        <v>300</v>
      </c>
      <c r="Z31" s="30">
        <v>300</v>
      </c>
      <c r="AA31" s="26">
        <f t="shared" si="115"/>
        <v>899</v>
      </c>
      <c r="AB31" s="26">
        <f t="shared" si="115"/>
        <v>899</v>
      </c>
      <c r="AC31" s="30">
        <v>0</v>
      </c>
      <c r="AD31" s="30">
        <v>0</v>
      </c>
      <c r="AE31" s="26">
        <f t="shared" si="116"/>
        <v>899</v>
      </c>
      <c r="AF31" s="26">
        <f t="shared" si="116"/>
        <v>899</v>
      </c>
      <c r="AG31" s="26">
        <v>377</v>
      </c>
      <c r="AH31" s="30">
        <v>377</v>
      </c>
      <c r="AI31" s="26">
        <f t="shared" si="147"/>
        <v>1276</v>
      </c>
      <c r="AJ31" s="26">
        <f t="shared" si="147"/>
        <v>1276</v>
      </c>
      <c r="AK31" s="30">
        <v>526</v>
      </c>
      <c r="AL31" s="23">
        <v>526</v>
      </c>
      <c r="AM31" s="26">
        <f t="shared" si="148"/>
        <v>1802</v>
      </c>
      <c r="AN31" s="26">
        <f t="shared" si="148"/>
        <v>1802</v>
      </c>
      <c r="AO31" s="30">
        <v>377</v>
      </c>
      <c r="AP31" s="30">
        <v>377</v>
      </c>
      <c r="AQ31" s="26">
        <f t="shared" si="149"/>
        <v>2179</v>
      </c>
      <c r="AR31" s="26">
        <f t="shared" si="149"/>
        <v>2179</v>
      </c>
      <c r="AS31" s="30">
        <v>877</v>
      </c>
      <c r="AT31" s="30">
        <v>877</v>
      </c>
      <c r="AU31" s="26">
        <f t="shared" si="150"/>
        <v>3056</v>
      </c>
      <c r="AV31" s="26">
        <f t="shared" si="150"/>
        <v>3056</v>
      </c>
      <c r="AW31" s="30">
        <v>878</v>
      </c>
      <c r="AX31" s="30">
        <v>878</v>
      </c>
      <c r="AY31" s="30">
        <v>4608</v>
      </c>
      <c r="AZ31" s="30">
        <v>4608</v>
      </c>
      <c r="BA31" s="55">
        <f t="shared" si="137"/>
        <v>0.17132689374682264</v>
      </c>
      <c r="BB31" s="55">
        <f t="shared" si="137"/>
        <v>0.17132689374682264</v>
      </c>
      <c r="BC31" s="30">
        <v>0</v>
      </c>
      <c r="BD31" s="30">
        <v>0</v>
      </c>
      <c r="BE31" s="30">
        <v>0</v>
      </c>
      <c r="BF31" s="30">
        <v>0</v>
      </c>
      <c r="BG31" s="26">
        <f t="shared" si="151"/>
        <v>0</v>
      </c>
      <c r="BH31" s="26">
        <f t="shared" si="151"/>
        <v>0</v>
      </c>
      <c r="BI31" s="55">
        <f t="shared" si="22"/>
        <v>1</v>
      </c>
      <c r="BJ31" s="55">
        <f t="shared" si="22"/>
        <v>1</v>
      </c>
      <c r="BK31" s="30">
        <v>0</v>
      </c>
      <c r="BL31" s="30">
        <v>1152</v>
      </c>
      <c r="BM31" s="26">
        <f t="shared" si="152"/>
        <v>0</v>
      </c>
      <c r="BN31" s="26">
        <f t="shared" si="152"/>
        <v>1152</v>
      </c>
      <c r="BO31" s="55">
        <f t="shared" si="24"/>
        <v>-1</v>
      </c>
      <c r="BP31" s="55">
        <f t="shared" si="24"/>
        <v>1.56</v>
      </c>
      <c r="BQ31" s="30"/>
      <c r="BR31" s="30"/>
      <c r="BS31" s="26">
        <f t="shared" si="153"/>
        <v>0</v>
      </c>
      <c r="BT31" s="26">
        <f t="shared" si="153"/>
        <v>1152</v>
      </c>
      <c r="BU31" s="55">
        <f t="shared" si="25"/>
        <v>-1</v>
      </c>
      <c r="BV31" s="55">
        <f t="shared" si="25"/>
        <v>0.92320534223706185</v>
      </c>
      <c r="BW31" s="30"/>
      <c r="BX31" s="30"/>
      <c r="BY31" s="26">
        <f t="shared" si="154"/>
        <v>0</v>
      </c>
      <c r="BZ31" s="26">
        <f t="shared" si="154"/>
        <v>1152</v>
      </c>
      <c r="CA31" s="55">
        <f t="shared" si="27"/>
        <v>-1</v>
      </c>
      <c r="CB31" s="55">
        <f t="shared" si="27"/>
        <v>0.92320534223706185</v>
      </c>
      <c r="CC31" s="30"/>
      <c r="CD31" s="30"/>
      <c r="CE31" s="26">
        <f t="shared" si="155"/>
        <v>0</v>
      </c>
      <c r="CF31" s="26">
        <f t="shared" si="155"/>
        <v>1152</v>
      </c>
      <c r="CG31" s="55">
        <f t="shared" si="29"/>
        <v>-1</v>
      </c>
      <c r="CH31" s="55">
        <f t="shared" si="29"/>
        <v>0.28142380422691882</v>
      </c>
      <c r="CI31" s="30"/>
      <c r="CJ31" s="30"/>
      <c r="CK31" s="26">
        <f t="shared" si="156"/>
        <v>0</v>
      </c>
      <c r="CL31" s="26">
        <f t="shared" si="156"/>
        <v>1152</v>
      </c>
      <c r="CM31" s="55">
        <f t="shared" si="31"/>
        <v>-1</v>
      </c>
      <c r="CN31" s="55">
        <f t="shared" si="31"/>
        <v>0.28142380422691882</v>
      </c>
      <c r="CO31" s="30"/>
      <c r="CP31" s="30"/>
      <c r="CQ31" s="26">
        <f t="shared" si="157"/>
        <v>0</v>
      </c>
      <c r="CR31" s="26">
        <f t="shared" si="157"/>
        <v>1152</v>
      </c>
      <c r="CS31" s="55">
        <f t="shared" si="33"/>
        <v>-1</v>
      </c>
      <c r="CT31" s="55">
        <f t="shared" si="33"/>
        <v>-9.7178683385579889E-2</v>
      </c>
      <c r="CU31" s="30"/>
      <c r="CV31" s="30"/>
      <c r="CW31" s="26">
        <f t="shared" si="158"/>
        <v>0</v>
      </c>
      <c r="CX31" s="26">
        <f t="shared" si="158"/>
        <v>1152</v>
      </c>
      <c r="CY31" s="55">
        <f t="shared" si="35"/>
        <v>-1</v>
      </c>
      <c r="CZ31" s="55">
        <f t="shared" si="35"/>
        <v>-0.36071032186459484</v>
      </c>
      <c r="DA31" s="30"/>
      <c r="DB31" s="30"/>
      <c r="DC31" s="26">
        <f t="shared" si="159"/>
        <v>0</v>
      </c>
      <c r="DD31" s="26">
        <f t="shared" si="159"/>
        <v>1152</v>
      </c>
      <c r="DE31" s="55">
        <f t="shared" si="37"/>
        <v>-1</v>
      </c>
      <c r="DF31" s="55">
        <f t="shared" si="37"/>
        <v>-0.47131711794401099</v>
      </c>
      <c r="DG31" s="30"/>
      <c r="DH31" s="30"/>
      <c r="DI31" s="26">
        <f t="shared" si="160"/>
        <v>0</v>
      </c>
      <c r="DJ31" s="26">
        <f t="shared" si="160"/>
        <v>1152</v>
      </c>
      <c r="DK31" s="55">
        <f t="shared" si="39"/>
        <v>-1</v>
      </c>
      <c r="DL31" s="55">
        <f t="shared" si="39"/>
        <v>-0.62303664921465973</v>
      </c>
      <c r="DM31" s="30"/>
      <c r="DN31" s="30"/>
      <c r="DO31" s="30"/>
      <c r="DP31" s="30"/>
      <c r="DQ31" s="29">
        <f t="shared" si="161"/>
        <v>4608</v>
      </c>
      <c r="DR31" s="29">
        <f t="shared" si="161"/>
        <v>4608</v>
      </c>
      <c r="DS31" s="55">
        <f>IF($AY$31=0,1,DQ31/$AY$31-1)</f>
        <v>0</v>
      </c>
      <c r="DT31" s="55">
        <f>IF($AZ$31=0,1,DR31/$AZ$31-1)</f>
        <v>0</v>
      </c>
      <c r="DU31" s="55">
        <f>IF($E$31=0,1,DQ31/$E$31-1)</f>
        <v>0.17132689374682264</v>
      </c>
      <c r="DV31" s="55">
        <f>IF($E$31=0,1,DR31/$E$31-1)</f>
        <v>0.17132689374682264</v>
      </c>
      <c r="DW31" s="25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6" customFormat="1" ht="18" customHeight="1">
      <c r="A32" s="321" t="s">
        <v>47</v>
      </c>
      <c r="B32" s="322"/>
      <c r="C32" s="29">
        <f>'[1]прогноз '!B39</f>
        <v>6327</v>
      </c>
      <c r="D32" s="29">
        <f>'[1]прогноз '!C39</f>
        <v>7000.0650000000005</v>
      </c>
      <c r="E32" s="26">
        <f t="shared" si="110"/>
        <v>60014.400000000001</v>
      </c>
      <c r="F32" s="29">
        <f t="shared" si="110"/>
        <v>61206.2</v>
      </c>
      <c r="G32" s="29">
        <v>0</v>
      </c>
      <c r="H32" s="29">
        <v>21.1</v>
      </c>
      <c r="I32" s="29">
        <v>0</v>
      </c>
      <c r="J32" s="29">
        <v>80.599999999999994</v>
      </c>
      <c r="K32" s="26">
        <f t="shared" si="111"/>
        <v>0</v>
      </c>
      <c r="L32" s="26">
        <f t="shared" si="111"/>
        <v>101.69999999999999</v>
      </c>
      <c r="M32" s="29">
        <v>0</v>
      </c>
      <c r="N32" s="29">
        <v>137.30000000000001</v>
      </c>
      <c r="O32" s="26">
        <f t="shared" si="112"/>
        <v>0</v>
      </c>
      <c r="P32" s="26">
        <f t="shared" si="112"/>
        <v>239</v>
      </c>
      <c r="Q32" s="29">
        <v>2594.1</v>
      </c>
      <c r="R32" s="29">
        <v>2643.7</v>
      </c>
      <c r="S32" s="26">
        <f t="shared" si="113"/>
        <v>2594.1</v>
      </c>
      <c r="T32" s="26">
        <f t="shared" si="113"/>
        <v>2882.7</v>
      </c>
      <c r="U32" s="29">
        <f>13353.5-Q32</f>
        <v>10759.4</v>
      </c>
      <c r="V32" s="29">
        <v>10780.5</v>
      </c>
      <c r="W32" s="26">
        <f t="shared" si="114"/>
        <v>13353.5</v>
      </c>
      <c r="X32" s="26">
        <f t="shared" si="114"/>
        <v>13663.2</v>
      </c>
      <c r="Y32" s="29">
        <f>36393.8-Q32-U32</f>
        <v>23040.300000000003</v>
      </c>
      <c r="Z32" s="29">
        <v>23209</v>
      </c>
      <c r="AA32" s="26">
        <f t="shared" si="115"/>
        <v>36393.800000000003</v>
      </c>
      <c r="AB32" s="26">
        <f t="shared" si="115"/>
        <v>36872.199999999997</v>
      </c>
      <c r="AC32" s="29">
        <v>4305</v>
      </c>
      <c r="AD32" s="29">
        <v>4501.8</v>
      </c>
      <c r="AE32" s="26">
        <f t="shared" si="116"/>
        <v>40698.800000000003</v>
      </c>
      <c r="AF32" s="26">
        <f t="shared" si="116"/>
        <v>41374</v>
      </c>
      <c r="AG32" s="26">
        <f>44361.2-G32-I32-M32-Q32-U32-Y32-AC32</f>
        <v>3662.3999999999942</v>
      </c>
      <c r="AH32" s="29">
        <f>45128.3-H32-J32-N32-R32-V32-Z32-AD32</f>
        <v>3754.3000000000056</v>
      </c>
      <c r="AI32" s="26">
        <f t="shared" si="147"/>
        <v>44361.2</v>
      </c>
      <c r="AJ32" s="26">
        <f t="shared" si="147"/>
        <v>45128.3</v>
      </c>
      <c r="AK32" s="29">
        <f>50472.2-G32-I32-M32-Q32-U32-Y32-AC32-AG32</f>
        <v>6111</v>
      </c>
      <c r="AL32" s="23">
        <f>51360.3-H32-J32-N32-R32-V32-Z32-AD32-AH32</f>
        <v>6232.0000000000009</v>
      </c>
      <c r="AM32" s="26">
        <f t="shared" si="148"/>
        <v>50472.2</v>
      </c>
      <c r="AN32" s="26">
        <f t="shared" si="148"/>
        <v>51360.3</v>
      </c>
      <c r="AO32" s="29">
        <f>50474.3-G32-I32-M32-Q32-U32-Y32-AC32-AG32-AK32</f>
        <v>2.1000000000058208</v>
      </c>
      <c r="AP32" s="29">
        <f>51453.8-H32-J32-N32-R32-V32-Z32-AD32-AH32-AL32</f>
        <v>93.5</v>
      </c>
      <c r="AQ32" s="26">
        <f t="shared" si="149"/>
        <v>50474.3</v>
      </c>
      <c r="AR32" s="26">
        <f t="shared" si="149"/>
        <v>51453.8</v>
      </c>
      <c r="AS32" s="29">
        <v>6193.9</v>
      </c>
      <c r="AT32" s="29">
        <v>6285.2</v>
      </c>
      <c r="AU32" s="26">
        <f t="shared" si="150"/>
        <v>56668.200000000004</v>
      </c>
      <c r="AV32" s="26">
        <f t="shared" si="150"/>
        <v>57739</v>
      </c>
      <c r="AW32" s="29">
        <f>-121+AX32</f>
        <v>3346.2</v>
      </c>
      <c r="AX32" s="29">
        <v>3467.2</v>
      </c>
      <c r="AY32" s="29">
        <v>52</v>
      </c>
      <c r="AZ32" s="29">
        <v>912.8</v>
      </c>
      <c r="BA32" s="55">
        <f t="shared" si="137"/>
        <v>-0.99913354128342535</v>
      </c>
      <c r="BB32" s="55">
        <f t="shared" si="137"/>
        <v>-0.98508647816724448</v>
      </c>
      <c r="BC32" s="29">
        <v>0</v>
      </c>
      <c r="BD32" s="29">
        <v>0</v>
      </c>
      <c r="BE32" s="29">
        <v>0</v>
      </c>
      <c r="BF32" s="29">
        <v>92.3</v>
      </c>
      <c r="BG32" s="26">
        <f t="shared" si="151"/>
        <v>0</v>
      </c>
      <c r="BH32" s="26">
        <f t="shared" si="151"/>
        <v>92.3</v>
      </c>
      <c r="BI32" s="55">
        <f t="shared" si="22"/>
        <v>1</v>
      </c>
      <c r="BJ32" s="55">
        <f t="shared" si="22"/>
        <v>-9.242871189773838E-2</v>
      </c>
      <c r="BK32" s="29">
        <v>0</v>
      </c>
      <c r="BL32" s="29">
        <v>66</v>
      </c>
      <c r="BM32" s="26">
        <f t="shared" si="152"/>
        <v>0</v>
      </c>
      <c r="BN32" s="26">
        <f t="shared" si="152"/>
        <v>158.30000000000001</v>
      </c>
      <c r="BO32" s="55">
        <f t="shared" si="24"/>
        <v>1</v>
      </c>
      <c r="BP32" s="55">
        <f t="shared" si="24"/>
        <v>-0.33765690376569035</v>
      </c>
      <c r="BQ32" s="29"/>
      <c r="BR32" s="29"/>
      <c r="BS32" s="26">
        <f t="shared" si="153"/>
        <v>0</v>
      </c>
      <c r="BT32" s="26">
        <f t="shared" si="153"/>
        <v>158.30000000000001</v>
      </c>
      <c r="BU32" s="55">
        <f t="shared" si="25"/>
        <v>-1</v>
      </c>
      <c r="BV32" s="55">
        <f t="shared" si="25"/>
        <v>-0.94508620390606024</v>
      </c>
      <c r="BW32" s="29"/>
      <c r="BX32" s="29"/>
      <c r="BY32" s="26">
        <f t="shared" si="154"/>
        <v>0</v>
      </c>
      <c r="BZ32" s="26">
        <f t="shared" si="154"/>
        <v>158.30000000000001</v>
      </c>
      <c r="CA32" s="55">
        <f t="shared" si="27"/>
        <v>-1</v>
      </c>
      <c r="CB32" s="55">
        <f t="shared" si="27"/>
        <v>-0.98841413431699743</v>
      </c>
      <c r="CC32" s="29"/>
      <c r="CD32" s="29"/>
      <c r="CE32" s="26">
        <f t="shared" si="155"/>
        <v>0</v>
      </c>
      <c r="CF32" s="26">
        <f t="shared" si="155"/>
        <v>158.30000000000001</v>
      </c>
      <c r="CG32" s="55">
        <f t="shared" si="29"/>
        <v>-1</v>
      </c>
      <c r="CH32" s="55">
        <f t="shared" si="29"/>
        <v>-0.99570679265137418</v>
      </c>
      <c r="CI32" s="29"/>
      <c r="CJ32" s="29"/>
      <c r="CK32" s="26">
        <f t="shared" si="156"/>
        <v>0</v>
      </c>
      <c r="CL32" s="26">
        <f t="shared" si="156"/>
        <v>158.30000000000001</v>
      </c>
      <c r="CM32" s="55">
        <f t="shared" si="31"/>
        <v>-1</v>
      </c>
      <c r="CN32" s="55">
        <f t="shared" si="31"/>
        <v>-0.99617392565379226</v>
      </c>
      <c r="CO32" s="29"/>
      <c r="CP32" s="29"/>
      <c r="CQ32" s="26">
        <f t="shared" si="157"/>
        <v>0</v>
      </c>
      <c r="CR32" s="26">
        <f t="shared" si="157"/>
        <v>158.30000000000001</v>
      </c>
      <c r="CS32" s="55">
        <f t="shared" si="33"/>
        <v>-1</v>
      </c>
      <c r="CT32" s="55">
        <f t="shared" si="33"/>
        <v>-0.99649222328339426</v>
      </c>
      <c r="CU32" s="29"/>
      <c r="CV32" s="29"/>
      <c r="CW32" s="26">
        <f t="shared" si="158"/>
        <v>0</v>
      </c>
      <c r="CX32" s="26">
        <f t="shared" si="158"/>
        <v>158.30000000000001</v>
      </c>
      <c r="CY32" s="55">
        <f t="shared" si="35"/>
        <v>-1</v>
      </c>
      <c r="CZ32" s="55">
        <f t="shared" si="35"/>
        <v>-0.99691785289416146</v>
      </c>
      <c r="DA32" s="29"/>
      <c r="DB32" s="29"/>
      <c r="DC32" s="26">
        <f t="shared" si="159"/>
        <v>0</v>
      </c>
      <c r="DD32" s="26">
        <f t="shared" si="159"/>
        <v>158.30000000000001</v>
      </c>
      <c r="DE32" s="55">
        <f t="shared" si="37"/>
        <v>-1</v>
      </c>
      <c r="DF32" s="55">
        <f t="shared" si="37"/>
        <v>-0.99692345366134283</v>
      </c>
      <c r="DG32" s="29"/>
      <c r="DH32" s="29"/>
      <c r="DI32" s="26">
        <f t="shared" si="160"/>
        <v>0</v>
      </c>
      <c r="DJ32" s="26">
        <f t="shared" si="160"/>
        <v>158.30000000000001</v>
      </c>
      <c r="DK32" s="55">
        <f t="shared" si="39"/>
        <v>-1</v>
      </c>
      <c r="DL32" s="55">
        <f t="shared" si="39"/>
        <v>-0.99725835224025361</v>
      </c>
      <c r="DM32" s="29"/>
      <c r="DN32" s="29"/>
      <c r="DO32" s="29"/>
      <c r="DP32" s="29"/>
      <c r="DQ32" s="29">
        <f t="shared" si="161"/>
        <v>52</v>
      </c>
      <c r="DR32" s="29">
        <f t="shared" si="161"/>
        <v>912.8</v>
      </c>
      <c r="DS32" s="55">
        <f>IF($AY$32=0,1,DQ32/$AY$32-1)</f>
        <v>0</v>
      </c>
      <c r="DT32" s="55">
        <f>IF($AZ$32=0,1,DR32/$AZ$32-1)</f>
        <v>0</v>
      </c>
      <c r="DU32" s="55">
        <f>IF($E$32=0,1,DQ32/$E$32-1)</f>
        <v>-0.99913354128342535</v>
      </c>
      <c r="DV32" s="55">
        <f>IF($E$32=0,1,DR32/$E$32-1)</f>
        <v>-0.98479031699058894</v>
      </c>
      <c r="DW32" s="2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</row>
    <row r="33" spans="1:268" s="66" customFormat="1" ht="33" customHeight="1">
      <c r="A33" s="321" t="s">
        <v>118</v>
      </c>
      <c r="B33" s="322"/>
      <c r="C33" s="29"/>
      <c r="D33" s="29"/>
      <c r="E33" s="26">
        <f t="shared" si="110"/>
        <v>0</v>
      </c>
      <c r="F33" s="29">
        <f t="shared" si="110"/>
        <v>0</v>
      </c>
      <c r="G33" s="29"/>
      <c r="H33" s="29"/>
      <c r="I33" s="29"/>
      <c r="J33" s="29"/>
      <c r="K33" s="26">
        <f t="shared" si="111"/>
        <v>0</v>
      </c>
      <c r="L33" s="26">
        <f t="shared" si="111"/>
        <v>0</v>
      </c>
      <c r="M33" s="29"/>
      <c r="N33" s="29"/>
      <c r="O33" s="26">
        <f t="shared" si="112"/>
        <v>0</v>
      </c>
      <c r="P33" s="26">
        <f t="shared" si="112"/>
        <v>0</v>
      </c>
      <c r="Q33" s="29"/>
      <c r="R33" s="29"/>
      <c r="S33" s="26">
        <f t="shared" si="113"/>
        <v>0</v>
      </c>
      <c r="T33" s="26">
        <f t="shared" si="113"/>
        <v>0</v>
      </c>
      <c r="U33" s="29"/>
      <c r="V33" s="29"/>
      <c r="W33" s="26">
        <f t="shared" si="114"/>
        <v>0</v>
      </c>
      <c r="X33" s="26">
        <f t="shared" si="114"/>
        <v>0</v>
      </c>
      <c r="Y33" s="29"/>
      <c r="Z33" s="29"/>
      <c r="AA33" s="26">
        <f t="shared" si="115"/>
        <v>0</v>
      </c>
      <c r="AB33" s="26">
        <f t="shared" si="115"/>
        <v>0</v>
      </c>
      <c r="AC33" s="29"/>
      <c r="AD33" s="29"/>
      <c r="AE33" s="26">
        <f t="shared" si="116"/>
        <v>0</v>
      </c>
      <c r="AF33" s="26">
        <f t="shared" si="116"/>
        <v>0</v>
      </c>
      <c r="AG33" s="26"/>
      <c r="AH33" s="29"/>
      <c r="AI33" s="26">
        <f t="shared" si="147"/>
        <v>0</v>
      </c>
      <c r="AJ33" s="26">
        <f t="shared" si="147"/>
        <v>0</v>
      </c>
      <c r="AK33" s="29"/>
      <c r="AL33" s="23"/>
      <c r="AM33" s="26">
        <f t="shared" si="148"/>
        <v>0</v>
      </c>
      <c r="AN33" s="26">
        <f t="shared" si="148"/>
        <v>0</v>
      </c>
      <c r="AO33" s="29"/>
      <c r="AP33" s="29"/>
      <c r="AQ33" s="26">
        <f t="shared" si="149"/>
        <v>0</v>
      </c>
      <c r="AR33" s="26">
        <f t="shared" si="149"/>
        <v>0</v>
      </c>
      <c r="AS33" s="29"/>
      <c r="AT33" s="29"/>
      <c r="AU33" s="26">
        <f t="shared" si="150"/>
        <v>0</v>
      </c>
      <c r="AV33" s="26">
        <f t="shared" si="150"/>
        <v>0</v>
      </c>
      <c r="AW33" s="29"/>
      <c r="AX33" s="29"/>
      <c r="AY33" s="29"/>
      <c r="AZ33" s="29"/>
      <c r="BA33" s="55">
        <f t="shared" si="137"/>
        <v>1</v>
      </c>
      <c r="BB33" s="55">
        <f t="shared" si="137"/>
        <v>1</v>
      </c>
      <c r="BC33" s="29"/>
      <c r="BD33" s="29"/>
      <c r="BE33" s="29"/>
      <c r="BF33" s="29"/>
      <c r="BG33" s="26">
        <f t="shared" si="151"/>
        <v>0</v>
      </c>
      <c r="BH33" s="26">
        <f t="shared" si="151"/>
        <v>0</v>
      </c>
      <c r="BI33" s="55">
        <f t="shared" si="22"/>
        <v>1</v>
      </c>
      <c r="BJ33" s="55">
        <f t="shared" si="22"/>
        <v>1</v>
      </c>
      <c r="BK33" s="29"/>
      <c r="BL33" s="29"/>
      <c r="BM33" s="26">
        <f t="shared" si="152"/>
        <v>0</v>
      </c>
      <c r="BN33" s="26">
        <f t="shared" si="152"/>
        <v>0</v>
      </c>
      <c r="BO33" s="55">
        <f t="shared" si="24"/>
        <v>1</v>
      </c>
      <c r="BP33" s="55">
        <f t="shared" si="24"/>
        <v>1</v>
      </c>
      <c r="BQ33" s="29"/>
      <c r="BR33" s="29"/>
      <c r="BS33" s="26">
        <f t="shared" si="153"/>
        <v>0</v>
      </c>
      <c r="BT33" s="26">
        <f t="shared" si="153"/>
        <v>0</v>
      </c>
      <c r="BU33" s="55">
        <f t="shared" si="25"/>
        <v>1</v>
      </c>
      <c r="BV33" s="55">
        <f t="shared" si="25"/>
        <v>1</v>
      </c>
      <c r="BW33" s="29"/>
      <c r="BX33" s="29"/>
      <c r="BY33" s="26">
        <f t="shared" si="154"/>
        <v>0</v>
      </c>
      <c r="BZ33" s="26">
        <f t="shared" si="154"/>
        <v>0</v>
      </c>
      <c r="CA33" s="55">
        <f t="shared" si="27"/>
        <v>1</v>
      </c>
      <c r="CB33" s="55">
        <f t="shared" si="27"/>
        <v>1</v>
      </c>
      <c r="CC33" s="29"/>
      <c r="CD33" s="29"/>
      <c r="CE33" s="26">
        <f t="shared" si="155"/>
        <v>0</v>
      </c>
      <c r="CF33" s="26">
        <f t="shared" si="155"/>
        <v>0</v>
      </c>
      <c r="CG33" s="55">
        <f t="shared" si="29"/>
        <v>1</v>
      </c>
      <c r="CH33" s="55">
        <f t="shared" si="29"/>
        <v>1</v>
      </c>
      <c r="CI33" s="29"/>
      <c r="CJ33" s="29"/>
      <c r="CK33" s="26">
        <f t="shared" si="156"/>
        <v>0</v>
      </c>
      <c r="CL33" s="26">
        <f t="shared" si="156"/>
        <v>0</v>
      </c>
      <c r="CM33" s="55">
        <f t="shared" si="31"/>
        <v>1</v>
      </c>
      <c r="CN33" s="55">
        <f t="shared" si="31"/>
        <v>1</v>
      </c>
      <c r="CO33" s="29"/>
      <c r="CP33" s="29"/>
      <c r="CQ33" s="26">
        <f t="shared" si="157"/>
        <v>0</v>
      </c>
      <c r="CR33" s="26">
        <f t="shared" si="157"/>
        <v>0</v>
      </c>
      <c r="CS33" s="55">
        <f t="shared" si="33"/>
        <v>1</v>
      </c>
      <c r="CT33" s="55">
        <f t="shared" si="33"/>
        <v>1</v>
      </c>
      <c r="CU33" s="29"/>
      <c r="CV33" s="29"/>
      <c r="CW33" s="26">
        <f t="shared" si="158"/>
        <v>0</v>
      </c>
      <c r="CX33" s="26">
        <f t="shared" si="158"/>
        <v>0</v>
      </c>
      <c r="CY33" s="55">
        <f t="shared" si="35"/>
        <v>1</v>
      </c>
      <c r="CZ33" s="55">
        <f t="shared" si="35"/>
        <v>1</v>
      </c>
      <c r="DA33" s="29"/>
      <c r="DB33" s="29"/>
      <c r="DC33" s="26">
        <f t="shared" si="159"/>
        <v>0</v>
      </c>
      <c r="DD33" s="26">
        <f t="shared" si="159"/>
        <v>0</v>
      </c>
      <c r="DE33" s="55">
        <f t="shared" si="37"/>
        <v>1</v>
      </c>
      <c r="DF33" s="55">
        <f t="shared" si="37"/>
        <v>1</v>
      </c>
      <c r="DG33" s="29"/>
      <c r="DH33" s="29"/>
      <c r="DI33" s="26">
        <f t="shared" si="160"/>
        <v>0</v>
      </c>
      <c r="DJ33" s="26">
        <f t="shared" si="160"/>
        <v>0</v>
      </c>
      <c r="DK33" s="55">
        <f t="shared" si="39"/>
        <v>1</v>
      </c>
      <c r="DL33" s="55">
        <f t="shared" si="39"/>
        <v>1</v>
      </c>
      <c r="DM33" s="29"/>
      <c r="DN33" s="29"/>
      <c r="DO33" s="29"/>
      <c r="DP33" s="29"/>
      <c r="DQ33" s="29"/>
      <c r="DR33" s="29"/>
      <c r="DS33" s="55">
        <f>IF($AY$33=0,1,DQ33/$AY$33-1)</f>
        <v>1</v>
      </c>
      <c r="DT33" s="55">
        <f>IF($AZ$33=0,1,DR33/$AZ$33-1)</f>
        <v>1</v>
      </c>
      <c r="DU33" s="55">
        <f>IF($E$33=0,1,DQ33/$E$33-1)</f>
        <v>1</v>
      </c>
      <c r="DV33" s="55">
        <f>IF($E$33=0,1,DR33/$E$33-1)</f>
        <v>1</v>
      </c>
      <c r="DW33" s="2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18" customHeight="1">
      <c r="A34" s="321" t="s">
        <v>48</v>
      </c>
      <c r="B34" s="322"/>
      <c r="C34" s="29">
        <f>'[1]прогноз '!B40</f>
        <v>200</v>
      </c>
      <c r="D34" s="29">
        <f>'[1]прогноз '!C40</f>
        <v>200</v>
      </c>
      <c r="E34" s="26">
        <f t="shared" si="110"/>
        <v>705.4</v>
      </c>
      <c r="F34" s="29">
        <f t="shared" si="110"/>
        <v>500</v>
      </c>
      <c r="G34" s="31">
        <v>0</v>
      </c>
      <c r="H34" s="31">
        <v>0</v>
      </c>
      <c r="I34" s="31">
        <v>0</v>
      </c>
      <c r="J34" s="31">
        <v>0</v>
      </c>
      <c r="K34" s="26">
        <f t="shared" si="111"/>
        <v>0</v>
      </c>
      <c r="L34" s="26">
        <f t="shared" si="111"/>
        <v>0</v>
      </c>
      <c r="M34" s="31">
        <v>0</v>
      </c>
      <c r="N34" s="31">
        <v>0</v>
      </c>
      <c r="O34" s="26">
        <f t="shared" si="112"/>
        <v>0</v>
      </c>
      <c r="P34" s="26">
        <f t="shared" si="112"/>
        <v>0</v>
      </c>
      <c r="Q34" s="31">
        <v>0</v>
      </c>
      <c r="R34" s="31">
        <v>0</v>
      </c>
      <c r="S34" s="26">
        <f t="shared" si="113"/>
        <v>0</v>
      </c>
      <c r="T34" s="26">
        <f t="shared" si="113"/>
        <v>0</v>
      </c>
      <c r="U34" s="31">
        <v>10</v>
      </c>
      <c r="V34" s="31">
        <v>0</v>
      </c>
      <c r="W34" s="26">
        <f t="shared" si="114"/>
        <v>10</v>
      </c>
      <c r="X34" s="26">
        <f t="shared" si="114"/>
        <v>0</v>
      </c>
      <c r="Y34" s="31">
        <f>20-U34</f>
        <v>10</v>
      </c>
      <c r="Z34" s="31">
        <v>0</v>
      </c>
      <c r="AA34" s="26">
        <f t="shared" si="115"/>
        <v>20</v>
      </c>
      <c r="AB34" s="26">
        <f t="shared" si="115"/>
        <v>0</v>
      </c>
      <c r="AC34" s="31">
        <v>5</v>
      </c>
      <c r="AD34" s="31">
        <v>0</v>
      </c>
      <c r="AE34" s="26">
        <f t="shared" si="116"/>
        <v>25</v>
      </c>
      <c r="AF34" s="26">
        <f t="shared" si="116"/>
        <v>0</v>
      </c>
      <c r="AG34" s="26">
        <f>25-G34-I34-M34-Q34-U34-Y34-AC34</f>
        <v>0</v>
      </c>
      <c r="AH34" s="31">
        <v>0</v>
      </c>
      <c r="AI34" s="26">
        <f t="shared" si="147"/>
        <v>25</v>
      </c>
      <c r="AJ34" s="26">
        <f t="shared" si="147"/>
        <v>0</v>
      </c>
      <c r="AK34" s="31">
        <f>540-G34-I34-M34-Q34-U34-Y34-AC34-AG34</f>
        <v>515</v>
      </c>
      <c r="AL34" s="23">
        <f>500-H34-J34-N34-R34-V34-Z34-AD34-AH34</f>
        <v>500</v>
      </c>
      <c r="AM34" s="26">
        <f t="shared" si="148"/>
        <v>540</v>
      </c>
      <c r="AN34" s="26">
        <f t="shared" si="148"/>
        <v>500</v>
      </c>
      <c r="AO34" s="31">
        <f>705.4-G34-I34-M34-Q34-U34-Y34-AC34-AG34-AK34</f>
        <v>165.39999999999998</v>
      </c>
      <c r="AP34" s="31">
        <f>500-H34-J34-N34-R34-V34-Z34-AD34-AH34-AL34</f>
        <v>0</v>
      </c>
      <c r="AQ34" s="26">
        <f t="shared" si="149"/>
        <v>705.4</v>
      </c>
      <c r="AR34" s="26">
        <f t="shared" si="149"/>
        <v>500</v>
      </c>
      <c r="AS34" s="31">
        <v>0</v>
      </c>
      <c r="AT34" s="31">
        <v>0</v>
      </c>
      <c r="AU34" s="26">
        <f t="shared" si="150"/>
        <v>705.4</v>
      </c>
      <c r="AV34" s="26">
        <f t="shared" si="150"/>
        <v>500</v>
      </c>
      <c r="AW34" s="31">
        <v>0</v>
      </c>
      <c r="AX34" s="31">
        <v>0</v>
      </c>
      <c r="AY34" s="31">
        <v>0</v>
      </c>
      <c r="AZ34" s="31">
        <v>0</v>
      </c>
      <c r="BA34" s="55">
        <f t="shared" si="137"/>
        <v>-1</v>
      </c>
      <c r="BB34" s="55">
        <f t="shared" si="137"/>
        <v>-1</v>
      </c>
      <c r="BC34" s="31">
        <v>0</v>
      </c>
      <c r="BD34" s="31">
        <v>0</v>
      </c>
      <c r="BE34" s="31">
        <v>0</v>
      </c>
      <c r="BF34" s="31">
        <v>0</v>
      </c>
      <c r="BG34" s="26">
        <f t="shared" si="151"/>
        <v>0</v>
      </c>
      <c r="BH34" s="26">
        <f t="shared" si="151"/>
        <v>0</v>
      </c>
      <c r="BI34" s="55">
        <f t="shared" si="22"/>
        <v>1</v>
      </c>
      <c r="BJ34" s="55">
        <f t="shared" si="22"/>
        <v>1</v>
      </c>
      <c r="BK34" s="31">
        <v>0</v>
      </c>
      <c r="BL34" s="31">
        <v>0</v>
      </c>
      <c r="BM34" s="26">
        <f t="shared" si="152"/>
        <v>0</v>
      </c>
      <c r="BN34" s="26">
        <f t="shared" si="152"/>
        <v>0</v>
      </c>
      <c r="BO34" s="55">
        <f t="shared" si="24"/>
        <v>1</v>
      </c>
      <c r="BP34" s="55">
        <f t="shared" si="24"/>
        <v>1</v>
      </c>
      <c r="BQ34" s="31"/>
      <c r="BR34" s="31"/>
      <c r="BS34" s="26">
        <f t="shared" si="153"/>
        <v>0</v>
      </c>
      <c r="BT34" s="26">
        <f t="shared" si="153"/>
        <v>0</v>
      </c>
      <c r="BU34" s="55">
        <f t="shared" si="25"/>
        <v>1</v>
      </c>
      <c r="BV34" s="55">
        <f t="shared" si="25"/>
        <v>1</v>
      </c>
      <c r="BW34" s="31"/>
      <c r="BX34" s="31"/>
      <c r="BY34" s="26">
        <f t="shared" si="154"/>
        <v>0</v>
      </c>
      <c r="BZ34" s="26">
        <f t="shared" si="154"/>
        <v>0</v>
      </c>
      <c r="CA34" s="55">
        <f t="shared" si="27"/>
        <v>-1</v>
      </c>
      <c r="CB34" s="55">
        <f t="shared" si="27"/>
        <v>1</v>
      </c>
      <c r="CC34" s="31"/>
      <c r="CD34" s="31"/>
      <c r="CE34" s="26">
        <f t="shared" si="155"/>
        <v>0</v>
      </c>
      <c r="CF34" s="26">
        <f t="shared" si="155"/>
        <v>0</v>
      </c>
      <c r="CG34" s="55">
        <f t="shared" si="29"/>
        <v>-1</v>
      </c>
      <c r="CH34" s="55">
        <f t="shared" si="29"/>
        <v>1</v>
      </c>
      <c r="CI34" s="31"/>
      <c r="CJ34" s="31"/>
      <c r="CK34" s="26">
        <f t="shared" si="156"/>
        <v>0</v>
      </c>
      <c r="CL34" s="26">
        <f t="shared" si="156"/>
        <v>0</v>
      </c>
      <c r="CM34" s="55">
        <f t="shared" si="31"/>
        <v>-1</v>
      </c>
      <c r="CN34" s="55">
        <f t="shared" si="31"/>
        <v>1</v>
      </c>
      <c r="CO34" s="31"/>
      <c r="CP34" s="31"/>
      <c r="CQ34" s="26">
        <f t="shared" si="157"/>
        <v>0</v>
      </c>
      <c r="CR34" s="26">
        <f t="shared" si="157"/>
        <v>0</v>
      </c>
      <c r="CS34" s="55">
        <f t="shared" si="33"/>
        <v>-1</v>
      </c>
      <c r="CT34" s="55">
        <f t="shared" si="33"/>
        <v>1</v>
      </c>
      <c r="CU34" s="31"/>
      <c r="CV34" s="31"/>
      <c r="CW34" s="26">
        <f t="shared" si="158"/>
        <v>0</v>
      </c>
      <c r="CX34" s="26">
        <f t="shared" si="158"/>
        <v>0</v>
      </c>
      <c r="CY34" s="55">
        <f t="shared" si="35"/>
        <v>-1</v>
      </c>
      <c r="CZ34" s="55">
        <f t="shared" si="35"/>
        <v>-1</v>
      </c>
      <c r="DA34" s="31"/>
      <c r="DB34" s="31"/>
      <c r="DC34" s="26">
        <f t="shared" si="159"/>
        <v>0</v>
      </c>
      <c r="DD34" s="26">
        <f t="shared" si="159"/>
        <v>0</v>
      </c>
      <c r="DE34" s="55">
        <f t="shared" si="37"/>
        <v>-1</v>
      </c>
      <c r="DF34" s="55">
        <f t="shared" si="37"/>
        <v>-1</v>
      </c>
      <c r="DG34" s="31"/>
      <c r="DH34" s="31"/>
      <c r="DI34" s="26">
        <f t="shared" si="160"/>
        <v>0</v>
      </c>
      <c r="DJ34" s="26">
        <f t="shared" si="160"/>
        <v>0</v>
      </c>
      <c r="DK34" s="55">
        <f t="shared" si="39"/>
        <v>-1</v>
      </c>
      <c r="DL34" s="55">
        <f t="shared" si="39"/>
        <v>-1</v>
      </c>
      <c r="DM34" s="31"/>
      <c r="DN34" s="31"/>
      <c r="DO34" s="31"/>
      <c r="DP34" s="31"/>
      <c r="DQ34" s="29">
        <f t="shared" si="161"/>
        <v>0</v>
      </c>
      <c r="DR34" s="29">
        <f t="shared" si="161"/>
        <v>0</v>
      </c>
      <c r="DS34" s="55">
        <f>IF($AY$34=0,1,DQ34/$AY$34-1)</f>
        <v>1</v>
      </c>
      <c r="DT34" s="55">
        <f>IF($AZ$34=0,1,DR34/$AZ$34-1)</f>
        <v>1</v>
      </c>
      <c r="DU34" s="55">
        <f>IF($E$34=0,1,DQ34/$E$34-1)</f>
        <v>-1</v>
      </c>
      <c r="DV34" s="55">
        <f>IF($E$34=0,1,DR34/$E$34-1)</f>
        <v>-1</v>
      </c>
      <c r="DW34" s="2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321" t="s">
        <v>93</v>
      </c>
      <c r="B35" s="322"/>
      <c r="C35" s="29">
        <f>'[1]прогноз '!B41</f>
        <v>-3733.2</v>
      </c>
      <c r="D35" s="29">
        <f>'[1]прогноз '!C41</f>
        <v>-3733.155999999999</v>
      </c>
      <c r="E35" s="26">
        <f t="shared" si="110"/>
        <v>-5136.5</v>
      </c>
      <c r="F35" s="29">
        <f t="shared" si="110"/>
        <v>-5136.8</v>
      </c>
      <c r="G35" s="31">
        <v>-4807</v>
      </c>
      <c r="H35" s="31">
        <v>-4807</v>
      </c>
      <c r="I35" s="31">
        <v>0</v>
      </c>
      <c r="J35" s="31">
        <v>0</v>
      </c>
      <c r="K35" s="26">
        <f t="shared" si="111"/>
        <v>-4807</v>
      </c>
      <c r="L35" s="26">
        <f t="shared" si="111"/>
        <v>-4807</v>
      </c>
      <c r="M35" s="31">
        <v>0</v>
      </c>
      <c r="N35" s="31">
        <v>0</v>
      </c>
      <c r="O35" s="26">
        <f t="shared" si="112"/>
        <v>-4807</v>
      </c>
      <c r="P35" s="26">
        <f t="shared" si="112"/>
        <v>-4807</v>
      </c>
      <c r="Q35" s="31">
        <v>0</v>
      </c>
      <c r="R35" s="31">
        <v>0</v>
      </c>
      <c r="S35" s="26">
        <f t="shared" si="113"/>
        <v>-4807</v>
      </c>
      <c r="T35" s="26">
        <f t="shared" si="113"/>
        <v>-4807</v>
      </c>
      <c r="U35" s="31">
        <v>0</v>
      </c>
      <c r="V35" s="31">
        <v>0</v>
      </c>
      <c r="W35" s="26">
        <f t="shared" si="114"/>
        <v>-4807</v>
      </c>
      <c r="X35" s="26">
        <f t="shared" si="114"/>
        <v>-4807</v>
      </c>
      <c r="Y35" s="31">
        <v>0</v>
      </c>
      <c r="Z35" s="31">
        <v>0</v>
      </c>
      <c r="AA35" s="26">
        <f t="shared" si="115"/>
        <v>-4807</v>
      </c>
      <c r="AB35" s="26">
        <f t="shared" si="115"/>
        <v>-4807</v>
      </c>
      <c r="AC35" s="31">
        <v>0</v>
      </c>
      <c r="AD35" s="31">
        <v>0</v>
      </c>
      <c r="AE35" s="26">
        <f t="shared" si="116"/>
        <v>-4807</v>
      </c>
      <c r="AF35" s="26">
        <f t="shared" si="116"/>
        <v>-4807</v>
      </c>
      <c r="AG35" s="31">
        <f>-4807-G35-I35-M35-Q35-U35-Y35-AC35</f>
        <v>0</v>
      </c>
      <c r="AH35" s="31">
        <f>-4807-H35-J35-N35-R35-V35-Z35-AD35</f>
        <v>0</v>
      </c>
      <c r="AI35" s="26">
        <f t="shared" si="147"/>
        <v>-4807</v>
      </c>
      <c r="AJ35" s="26">
        <f t="shared" si="147"/>
        <v>-4807</v>
      </c>
      <c r="AK35" s="31">
        <v>0</v>
      </c>
      <c r="AL35" s="23">
        <v>0</v>
      </c>
      <c r="AM35" s="26">
        <f t="shared" si="148"/>
        <v>-4807</v>
      </c>
      <c r="AN35" s="26">
        <f t="shared" si="148"/>
        <v>-4807</v>
      </c>
      <c r="AO35" s="31">
        <v>0</v>
      </c>
      <c r="AP35" s="31">
        <v>0</v>
      </c>
      <c r="AQ35" s="26">
        <f t="shared" si="149"/>
        <v>-4807</v>
      </c>
      <c r="AR35" s="26">
        <f t="shared" si="149"/>
        <v>-4807</v>
      </c>
      <c r="AS35" s="31">
        <v>-3</v>
      </c>
      <c r="AT35" s="31">
        <v>-3.3</v>
      </c>
      <c r="AU35" s="26">
        <f t="shared" si="150"/>
        <v>-4810</v>
      </c>
      <c r="AV35" s="26">
        <f t="shared" si="150"/>
        <v>-4810.3</v>
      </c>
      <c r="AW35" s="31">
        <f>0+AX35</f>
        <v>-326.5</v>
      </c>
      <c r="AX35" s="31">
        <v>-326.5</v>
      </c>
      <c r="AY35" s="31">
        <v>0</v>
      </c>
      <c r="AZ35" s="31">
        <v>0</v>
      </c>
      <c r="BA35" s="55">
        <f t="shared" si="137"/>
        <v>-1</v>
      </c>
      <c r="BB35" s="55">
        <f t="shared" si="137"/>
        <v>-1</v>
      </c>
      <c r="BC35" s="31">
        <v>-1362</v>
      </c>
      <c r="BD35" s="31">
        <v>-1362.4</v>
      </c>
      <c r="BE35" s="31">
        <v>0</v>
      </c>
      <c r="BF35" s="31">
        <v>0</v>
      </c>
      <c r="BG35" s="26">
        <f t="shared" si="151"/>
        <v>-1362</v>
      </c>
      <c r="BH35" s="26">
        <f t="shared" si="151"/>
        <v>-1362.4</v>
      </c>
      <c r="BI35" s="55">
        <f t="shared" si="22"/>
        <v>-0.7166631995007281</v>
      </c>
      <c r="BJ35" s="55">
        <f t="shared" si="22"/>
        <v>-0.71657998751820262</v>
      </c>
      <c r="BK35" s="31">
        <v>0</v>
      </c>
      <c r="BL35" s="31">
        <v>0</v>
      </c>
      <c r="BM35" s="26">
        <f t="shared" si="152"/>
        <v>-1362</v>
      </c>
      <c r="BN35" s="26">
        <f t="shared" si="152"/>
        <v>-1362.4</v>
      </c>
      <c r="BO35" s="55">
        <f t="shared" si="24"/>
        <v>-0.7166631995007281</v>
      </c>
      <c r="BP35" s="55">
        <f t="shared" si="24"/>
        <v>-0.71657998751820262</v>
      </c>
      <c r="BQ35" s="31"/>
      <c r="BR35" s="31"/>
      <c r="BS35" s="26">
        <f t="shared" si="153"/>
        <v>-1362</v>
      </c>
      <c r="BT35" s="26">
        <f t="shared" si="153"/>
        <v>-1362.4</v>
      </c>
      <c r="BU35" s="55">
        <f t="shared" si="25"/>
        <v>-0.7166631995007281</v>
      </c>
      <c r="BV35" s="55">
        <f t="shared" si="25"/>
        <v>-0.71657998751820262</v>
      </c>
      <c r="BW35" s="31"/>
      <c r="BX35" s="31"/>
      <c r="BY35" s="26">
        <f t="shared" si="154"/>
        <v>-1362</v>
      </c>
      <c r="BZ35" s="26">
        <f t="shared" si="154"/>
        <v>-1362.4</v>
      </c>
      <c r="CA35" s="55">
        <f t="shared" si="27"/>
        <v>-0.7166631995007281</v>
      </c>
      <c r="CB35" s="55">
        <f t="shared" si="27"/>
        <v>-0.71657998751820262</v>
      </c>
      <c r="CC35" s="31"/>
      <c r="CD35" s="31"/>
      <c r="CE35" s="26">
        <f t="shared" si="155"/>
        <v>-1362</v>
      </c>
      <c r="CF35" s="26">
        <f t="shared" si="155"/>
        <v>-1362.4</v>
      </c>
      <c r="CG35" s="55">
        <f t="shared" si="29"/>
        <v>-0.7166631995007281</v>
      </c>
      <c r="CH35" s="55">
        <f t="shared" si="29"/>
        <v>-0.71657998751820262</v>
      </c>
      <c r="CI35" s="31"/>
      <c r="CJ35" s="31"/>
      <c r="CK35" s="26">
        <f t="shared" si="156"/>
        <v>-1362</v>
      </c>
      <c r="CL35" s="26">
        <f t="shared" si="156"/>
        <v>-1362.4</v>
      </c>
      <c r="CM35" s="55">
        <f t="shared" si="31"/>
        <v>-0.7166631995007281</v>
      </c>
      <c r="CN35" s="55">
        <f t="shared" si="31"/>
        <v>-0.71657998751820262</v>
      </c>
      <c r="CO35" s="31"/>
      <c r="CP35" s="31"/>
      <c r="CQ35" s="26">
        <f t="shared" si="157"/>
        <v>-1362</v>
      </c>
      <c r="CR35" s="26">
        <f t="shared" si="157"/>
        <v>-1362.4</v>
      </c>
      <c r="CS35" s="55">
        <f t="shared" si="33"/>
        <v>-0.7166631995007281</v>
      </c>
      <c r="CT35" s="55">
        <f t="shared" si="33"/>
        <v>-0.71657998751820262</v>
      </c>
      <c r="CU35" s="31"/>
      <c r="CV35" s="31"/>
      <c r="CW35" s="26">
        <f t="shared" si="158"/>
        <v>-1362</v>
      </c>
      <c r="CX35" s="26">
        <f t="shared" si="158"/>
        <v>-1362.4</v>
      </c>
      <c r="CY35" s="55">
        <f t="shared" si="35"/>
        <v>-0.7166631995007281</v>
      </c>
      <c r="CZ35" s="55">
        <f t="shared" si="35"/>
        <v>-0.71657998751820262</v>
      </c>
      <c r="DA35" s="31"/>
      <c r="DB35" s="31"/>
      <c r="DC35" s="26">
        <f t="shared" si="159"/>
        <v>-1362</v>
      </c>
      <c r="DD35" s="26">
        <f t="shared" si="159"/>
        <v>-1362.4</v>
      </c>
      <c r="DE35" s="55">
        <f t="shared" si="37"/>
        <v>-0.7166631995007281</v>
      </c>
      <c r="DF35" s="55">
        <f t="shared" si="37"/>
        <v>-0.71657998751820262</v>
      </c>
      <c r="DG35" s="31"/>
      <c r="DH35" s="31"/>
      <c r="DI35" s="26">
        <f t="shared" si="160"/>
        <v>-1362</v>
      </c>
      <c r="DJ35" s="26">
        <f t="shared" si="160"/>
        <v>-1362.4</v>
      </c>
      <c r="DK35" s="55">
        <f t="shared" si="39"/>
        <v>-0.71683991683991688</v>
      </c>
      <c r="DL35" s="55">
        <f t="shared" si="39"/>
        <v>-0.71677442155374926</v>
      </c>
      <c r="DM35" s="31"/>
      <c r="DN35" s="31"/>
      <c r="DO35" s="31"/>
      <c r="DP35" s="31"/>
      <c r="DQ35" s="29">
        <v>-1362</v>
      </c>
      <c r="DR35" s="29">
        <v>-1362</v>
      </c>
      <c r="DS35" s="55">
        <f>IF($AY$35=0,1,DQ35/$AY$35-1)</f>
        <v>1</v>
      </c>
      <c r="DT35" s="55">
        <f>IF($AZ$35=0,1,DR35/$AZ$35-1)</f>
        <v>1</v>
      </c>
      <c r="DU35" s="55">
        <f>IF($E$35=0,1,DQ35/$E$35-1)</f>
        <v>-0.73483889808235181</v>
      </c>
      <c r="DV35" s="55">
        <f>IF($E$35=0,1,DR35/$E$35-1)</f>
        <v>-0.73483889808235181</v>
      </c>
      <c r="DW35" s="2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18" customFormat="1" ht="23.25" customHeight="1">
      <c r="A36" s="224" t="s">
        <v>49</v>
      </c>
      <c r="B36" s="225"/>
      <c r="C36" s="17">
        <f>C37+C42+C43+C44+C45+C46</f>
        <v>199781.19999999998</v>
      </c>
      <c r="D36" s="17">
        <f t="shared" ref="D36:AZ36" si="162">D37+D42+D43+D44+D45+D46</f>
        <v>593178.4</v>
      </c>
      <c r="E36" s="17">
        <f t="shared" si="162"/>
        <v>672833.8</v>
      </c>
      <c r="F36" s="17">
        <f t="shared" si="162"/>
        <v>699665.49999999988</v>
      </c>
      <c r="G36" s="17">
        <f t="shared" si="162"/>
        <v>25448.699999999997</v>
      </c>
      <c r="H36" s="17">
        <f t="shared" si="162"/>
        <v>21186</v>
      </c>
      <c r="I36" s="17">
        <f t="shared" si="162"/>
        <v>56836.800000000003</v>
      </c>
      <c r="J36" s="17">
        <f t="shared" si="162"/>
        <v>49861.500000000007</v>
      </c>
      <c r="K36" s="17">
        <f t="shared" si="162"/>
        <v>82285.5</v>
      </c>
      <c r="L36" s="17">
        <f t="shared" si="162"/>
        <v>71047.5</v>
      </c>
      <c r="M36" s="17">
        <f t="shared" si="162"/>
        <v>57653.8</v>
      </c>
      <c r="N36" s="17">
        <f t="shared" si="162"/>
        <v>49050.600000000006</v>
      </c>
      <c r="O36" s="17">
        <f t="shared" si="162"/>
        <v>139939.29999999999</v>
      </c>
      <c r="P36" s="17">
        <f t="shared" si="162"/>
        <v>120098.1</v>
      </c>
      <c r="Q36" s="17">
        <f t="shared" si="162"/>
        <v>61122.2</v>
      </c>
      <c r="R36" s="17">
        <f t="shared" si="162"/>
        <v>51207.4</v>
      </c>
      <c r="S36" s="17">
        <f t="shared" si="162"/>
        <v>201061.49999999997</v>
      </c>
      <c r="T36" s="17">
        <f t="shared" si="162"/>
        <v>171305.49999999997</v>
      </c>
      <c r="U36" s="17">
        <f t="shared" si="162"/>
        <v>63121.4</v>
      </c>
      <c r="V36" s="17">
        <f t="shared" si="162"/>
        <v>62028.3</v>
      </c>
      <c r="W36" s="17">
        <f t="shared" si="162"/>
        <v>264182.89999999997</v>
      </c>
      <c r="X36" s="17">
        <f t="shared" si="162"/>
        <v>233333.8</v>
      </c>
      <c r="Y36" s="17">
        <f t="shared" si="162"/>
        <v>108755.2</v>
      </c>
      <c r="Z36" s="17">
        <f t="shared" si="162"/>
        <v>108935.59999999999</v>
      </c>
      <c r="AA36" s="17">
        <f t="shared" si="162"/>
        <v>372938.1</v>
      </c>
      <c r="AB36" s="17">
        <f t="shared" si="162"/>
        <v>342269.39999999997</v>
      </c>
      <c r="AC36" s="17">
        <f t="shared" si="162"/>
        <v>68470.2</v>
      </c>
      <c r="AD36" s="17">
        <f t="shared" si="162"/>
        <v>62143.399999999994</v>
      </c>
      <c r="AE36" s="17">
        <f t="shared" si="162"/>
        <v>441408.29999999993</v>
      </c>
      <c r="AF36" s="17">
        <f t="shared" si="162"/>
        <v>404412.8</v>
      </c>
      <c r="AG36" s="17">
        <f t="shared" si="162"/>
        <v>45099.7</v>
      </c>
      <c r="AH36" s="17">
        <f t="shared" si="162"/>
        <v>40011.300000000003</v>
      </c>
      <c r="AI36" s="17">
        <f t="shared" si="162"/>
        <v>486507.99999999994</v>
      </c>
      <c r="AJ36" s="17">
        <f t="shared" si="162"/>
        <v>444424.10000000003</v>
      </c>
      <c r="AK36" s="17">
        <f t="shared" si="162"/>
        <v>59198.400000000001</v>
      </c>
      <c r="AL36" s="17">
        <f t="shared" si="162"/>
        <v>49335.1</v>
      </c>
      <c r="AM36" s="17">
        <f t="shared" si="162"/>
        <v>545706.39999999991</v>
      </c>
      <c r="AN36" s="17">
        <f t="shared" si="162"/>
        <v>493759.19999999995</v>
      </c>
      <c r="AO36" s="17">
        <f t="shared" si="162"/>
        <v>59343.3</v>
      </c>
      <c r="AP36" s="17">
        <f t="shared" si="162"/>
        <v>52802.299999999996</v>
      </c>
      <c r="AQ36" s="17">
        <f t="shared" si="162"/>
        <v>605049.69999999995</v>
      </c>
      <c r="AR36" s="17">
        <f t="shared" si="162"/>
        <v>546561.5</v>
      </c>
      <c r="AS36" s="17">
        <f t="shared" si="162"/>
        <v>23337.5</v>
      </c>
      <c r="AT36" s="17">
        <f t="shared" si="162"/>
        <v>54007.200000000004</v>
      </c>
      <c r="AU36" s="17">
        <f t="shared" si="162"/>
        <v>628387.19999999995</v>
      </c>
      <c r="AV36" s="17">
        <f t="shared" si="162"/>
        <v>600568.70000000007</v>
      </c>
      <c r="AW36" s="17">
        <f t="shared" si="162"/>
        <v>54765.600000000006</v>
      </c>
      <c r="AX36" s="17">
        <f t="shared" si="162"/>
        <v>99096.8</v>
      </c>
      <c r="AY36" s="17">
        <f t="shared" si="162"/>
        <v>613667.4</v>
      </c>
      <c r="AZ36" s="17">
        <f t="shared" si="162"/>
        <v>592228.6</v>
      </c>
      <c r="BA36" s="19">
        <f t="shared" si="137"/>
        <v>-8.7936129249154837E-2</v>
      </c>
      <c r="BB36" s="19">
        <f t="shared" si="137"/>
        <v>-0.15355466290677466</v>
      </c>
      <c r="BC36" s="17">
        <f t="shared" ref="BC36:DN36" si="163">BC37+BC42+BC43+BC44+BC45+BC46</f>
        <v>25618.700000000004</v>
      </c>
      <c r="BD36" s="17">
        <f t="shared" si="163"/>
        <v>24445.800000000003</v>
      </c>
      <c r="BE36" s="17">
        <f t="shared" si="163"/>
        <v>51669.9</v>
      </c>
      <c r="BF36" s="17">
        <f t="shared" si="163"/>
        <v>50536.100000000006</v>
      </c>
      <c r="BG36" s="17">
        <f t="shared" si="163"/>
        <v>77288.599999999991</v>
      </c>
      <c r="BH36" s="17">
        <f t="shared" si="163"/>
        <v>74981.900000000009</v>
      </c>
      <c r="BI36" s="19">
        <f t="shared" si="22"/>
        <v>-6.0726373419375368E-2</v>
      </c>
      <c r="BJ36" s="19">
        <f t="shared" si="22"/>
        <v>5.5377036489672626E-2</v>
      </c>
      <c r="BK36" s="17">
        <f t="shared" si="163"/>
        <v>51704.3</v>
      </c>
      <c r="BL36" s="17">
        <f t="shared" si="163"/>
        <v>45872.5</v>
      </c>
      <c r="BM36" s="17">
        <f t="shared" si="163"/>
        <v>128992.9</v>
      </c>
      <c r="BN36" s="17">
        <f t="shared" si="163"/>
        <v>120854.39999999999</v>
      </c>
      <c r="BO36" s="19">
        <f t="shared" si="24"/>
        <v>-7.8222486463773944E-2</v>
      </c>
      <c r="BP36" s="19">
        <f t="shared" si="24"/>
        <v>6.2973519148095125E-3</v>
      </c>
      <c r="BQ36" s="17">
        <f t="shared" si="163"/>
        <v>0</v>
      </c>
      <c r="BR36" s="17">
        <f t="shared" si="163"/>
        <v>0</v>
      </c>
      <c r="BS36" s="17">
        <f t="shared" si="163"/>
        <v>128992.9</v>
      </c>
      <c r="BT36" s="17">
        <f t="shared" si="163"/>
        <v>120854.39999999999</v>
      </c>
      <c r="BU36" s="19">
        <f t="shared" si="25"/>
        <v>-0.35844057663948592</v>
      </c>
      <c r="BV36" s="19">
        <f t="shared" si="25"/>
        <v>-0.29450951662380942</v>
      </c>
      <c r="BW36" s="17">
        <f t="shared" si="163"/>
        <v>0</v>
      </c>
      <c r="BX36" s="17">
        <f t="shared" si="163"/>
        <v>0</v>
      </c>
      <c r="BY36" s="17">
        <f t="shared" si="163"/>
        <v>128992.9</v>
      </c>
      <c r="BZ36" s="17">
        <f t="shared" si="163"/>
        <v>120854.39999999999</v>
      </c>
      <c r="CA36" s="19">
        <f t="shared" si="27"/>
        <v>-0.51172880606579763</v>
      </c>
      <c r="CB36" s="19">
        <f t="shared" si="27"/>
        <v>-0.48205360732135683</v>
      </c>
      <c r="CC36" s="17">
        <f t="shared" si="163"/>
        <v>0</v>
      </c>
      <c r="CD36" s="17">
        <f t="shared" si="163"/>
        <v>0</v>
      </c>
      <c r="CE36" s="17">
        <f t="shared" si="163"/>
        <v>128992.9</v>
      </c>
      <c r="CF36" s="17">
        <f t="shared" si="163"/>
        <v>120854.39999999999</v>
      </c>
      <c r="CG36" s="19">
        <f t="shared" si="29"/>
        <v>-0.65411713096623814</v>
      </c>
      <c r="CH36" s="19">
        <f t="shared" si="29"/>
        <v>-0.64690270295854668</v>
      </c>
      <c r="CI36" s="17">
        <f t="shared" si="163"/>
        <v>0</v>
      </c>
      <c r="CJ36" s="17">
        <f t="shared" si="163"/>
        <v>0</v>
      </c>
      <c r="CK36" s="17">
        <f t="shared" si="163"/>
        <v>128992.9</v>
      </c>
      <c r="CL36" s="17">
        <f t="shared" si="163"/>
        <v>120854.39999999999</v>
      </c>
      <c r="CM36" s="19">
        <f t="shared" si="31"/>
        <v>-0.70776965453526808</v>
      </c>
      <c r="CN36" s="19">
        <f t="shared" si="31"/>
        <v>-0.70116079411927612</v>
      </c>
      <c r="CO36" s="17">
        <f t="shared" si="163"/>
        <v>0</v>
      </c>
      <c r="CP36" s="17">
        <f t="shared" si="163"/>
        <v>0</v>
      </c>
      <c r="CQ36" s="17">
        <f t="shared" si="163"/>
        <v>128992.9</v>
      </c>
      <c r="CR36" s="17">
        <f t="shared" si="163"/>
        <v>120854.39999999999</v>
      </c>
      <c r="CS36" s="19">
        <f t="shared" si="33"/>
        <v>-0.73485965287312849</v>
      </c>
      <c r="CT36" s="19">
        <f t="shared" si="33"/>
        <v>-0.72806515218234114</v>
      </c>
      <c r="CU36" s="17">
        <f t="shared" si="163"/>
        <v>0</v>
      </c>
      <c r="CV36" s="17">
        <f t="shared" si="163"/>
        <v>0</v>
      </c>
      <c r="CW36" s="17">
        <f t="shared" si="163"/>
        <v>128992.9</v>
      </c>
      <c r="CX36" s="17">
        <f t="shared" si="163"/>
        <v>120854.39999999999</v>
      </c>
      <c r="CY36" s="19">
        <f t="shared" si="35"/>
        <v>-0.76362216019456608</v>
      </c>
      <c r="CZ36" s="19">
        <f t="shared" si="35"/>
        <v>-0.75523615559973356</v>
      </c>
      <c r="DA36" s="17">
        <f t="shared" si="163"/>
        <v>0</v>
      </c>
      <c r="DB36" s="17">
        <f t="shared" si="163"/>
        <v>0</v>
      </c>
      <c r="DC36" s="17">
        <f t="shared" si="163"/>
        <v>128992.9</v>
      </c>
      <c r="DD36" s="17">
        <f t="shared" si="163"/>
        <v>120854.39999999999</v>
      </c>
      <c r="DE36" s="19">
        <f t="shared" si="37"/>
        <v>-0.78680610865520628</v>
      </c>
      <c r="DF36" s="19">
        <f t="shared" si="37"/>
        <v>-0.77888233986477284</v>
      </c>
      <c r="DG36" s="17">
        <f t="shared" si="163"/>
        <v>0</v>
      </c>
      <c r="DH36" s="17">
        <f t="shared" si="163"/>
        <v>0</v>
      </c>
      <c r="DI36" s="17">
        <f t="shared" si="163"/>
        <v>128992.9</v>
      </c>
      <c r="DJ36" s="17">
        <f t="shared" si="163"/>
        <v>120854.39999999999</v>
      </c>
      <c r="DK36" s="19">
        <f t="shared" si="39"/>
        <v>-0.79472385815624502</v>
      </c>
      <c r="DL36" s="19">
        <f t="shared" si="39"/>
        <v>-0.79876673559577782</v>
      </c>
      <c r="DM36" s="17">
        <f t="shared" si="163"/>
        <v>0</v>
      </c>
      <c r="DN36" s="17">
        <f t="shared" si="163"/>
        <v>0</v>
      </c>
      <c r="DO36" s="17">
        <f t="shared" ref="DO36:DR36" si="164">DO37+DO42+DO43+DO44+DO45+DO46</f>
        <v>0</v>
      </c>
      <c r="DP36" s="17">
        <f t="shared" si="164"/>
        <v>0</v>
      </c>
      <c r="DQ36" s="17">
        <f t="shared" si="164"/>
        <v>613667.4</v>
      </c>
      <c r="DR36" s="17">
        <f t="shared" si="164"/>
        <v>594073.69999999995</v>
      </c>
      <c r="DS36" s="19">
        <f>IF($AY$36=0,1,DQ36/$AY$36-1)</f>
        <v>0</v>
      </c>
      <c r="DT36" s="19">
        <f>IF($AZ$36=0,1,DR36/$AZ$36-1)</f>
        <v>3.1155199191663652E-3</v>
      </c>
      <c r="DU36" s="19">
        <f>IF($E$36=0,1,DQ36/$E$36-1)</f>
        <v>-8.7936129249154837E-2</v>
      </c>
      <c r="DV36" s="19">
        <f>IF($E$36=0,1,DR36/$E$36-1)</f>
        <v>-0.11705728814456129</v>
      </c>
      <c r="DW36" s="21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</row>
    <row r="37" spans="1:268" s="68" customFormat="1" ht="19.5" customHeight="1">
      <c r="A37" s="331" t="s">
        <v>100</v>
      </c>
      <c r="B37" s="332"/>
      <c r="C37" s="53">
        <f>C38+C39+C40+C41</f>
        <v>51395.199999999997</v>
      </c>
      <c r="D37" s="53">
        <f t="shared" ref="D37:AZ37" si="165">D38+D39+D40+D41</f>
        <v>453977.60000000003</v>
      </c>
      <c r="E37" s="53">
        <f t="shared" si="165"/>
        <v>439466.4</v>
      </c>
      <c r="F37" s="53">
        <f t="shared" si="165"/>
        <v>483762.2</v>
      </c>
      <c r="G37" s="53">
        <f t="shared" si="165"/>
        <v>17916.599999999999</v>
      </c>
      <c r="H37" s="53">
        <f t="shared" si="165"/>
        <v>15930.8</v>
      </c>
      <c r="I37" s="53">
        <f t="shared" si="165"/>
        <v>45203.199999999997</v>
      </c>
      <c r="J37" s="53">
        <f t="shared" si="165"/>
        <v>40621.5</v>
      </c>
      <c r="K37" s="53">
        <f t="shared" si="165"/>
        <v>63119.8</v>
      </c>
      <c r="L37" s="53">
        <f t="shared" si="165"/>
        <v>56552.3</v>
      </c>
      <c r="M37" s="53">
        <f t="shared" si="165"/>
        <v>45264.800000000003</v>
      </c>
      <c r="N37" s="53">
        <f t="shared" si="165"/>
        <v>39330.199999999997</v>
      </c>
      <c r="O37" s="53">
        <f t="shared" si="165"/>
        <v>108384.6</v>
      </c>
      <c r="P37" s="53">
        <f t="shared" si="165"/>
        <v>95882.5</v>
      </c>
      <c r="Q37" s="53">
        <f t="shared" si="165"/>
        <v>46118.7</v>
      </c>
      <c r="R37" s="53">
        <f t="shared" si="165"/>
        <v>39815</v>
      </c>
      <c r="S37" s="53">
        <f t="shared" si="165"/>
        <v>154503.29999999999</v>
      </c>
      <c r="T37" s="53">
        <f t="shared" si="165"/>
        <v>135697.5</v>
      </c>
      <c r="U37" s="53">
        <f t="shared" si="165"/>
        <v>47591.4</v>
      </c>
      <c r="V37" s="53">
        <f t="shared" si="165"/>
        <v>43692.7</v>
      </c>
      <c r="W37" s="53">
        <f t="shared" si="165"/>
        <v>202094.69999999998</v>
      </c>
      <c r="X37" s="53">
        <f t="shared" si="165"/>
        <v>179390.19999999998</v>
      </c>
      <c r="Y37" s="53">
        <f t="shared" si="165"/>
        <v>69650.5</v>
      </c>
      <c r="Z37" s="53">
        <f t="shared" si="165"/>
        <v>64010.799999999996</v>
      </c>
      <c r="AA37" s="53">
        <f t="shared" si="165"/>
        <v>271745.2</v>
      </c>
      <c r="AB37" s="53">
        <f t="shared" si="165"/>
        <v>243400.99999999997</v>
      </c>
      <c r="AC37" s="53">
        <f t="shared" si="165"/>
        <v>49830.400000000001</v>
      </c>
      <c r="AD37" s="53">
        <f t="shared" si="165"/>
        <v>43792</v>
      </c>
      <c r="AE37" s="53">
        <f t="shared" si="165"/>
        <v>321575.59999999998</v>
      </c>
      <c r="AF37" s="53">
        <f t="shared" si="165"/>
        <v>287193</v>
      </c>
      <c r="AG37" s="53">
        <f t="shared" si="165"/>
        <v>28730.5</v>
      </c>
      <c r="AH37" s="53">
        <f t="shared" si="165"/>
        <v>24694.5</v>
      </c>
      <c r="AI37" s="53">
        <f t="shared" si="165"/>
        <v>350306.1</v>
      </c>
      <c r="AJ37" s="53">
        <f t="shared" si="165"/>
        <v>311887.5</v>
      </c>
      <c r="AK37" s="53">
        <f t="shared" si="165"/>
        <v>33295.599999999999</v>
      </c>
      <c r="AL37" s="53">
        <f t="shared" si="165"/>
        <v>28946.7</v>
      </c>
      <c r="AM37" s="53">
        <f t="shared" si="165"/>
        <v>383601.7</v>
      </c>
      <c r="AN37" s="53">
        <f t="shared" si="165"/>
        <v>340834.19999999995</v>
      </c>
      <c r="AO37" s="53">
        <f t="shared" si="165"/>
        <v>43187.5</v>
      </c>
      <c r="AP37" s="53">
        <f t="shared" si="165"/>
        <v>39053.5</v>
      </c>
      <c r="AQ37" s="53">
        <f t="shared" si="165"/>
        <v>426789.2</v>
      </c>
      <c r="AR37" s="53">
        <f t="shared" si="165"/>
        <v>379887.7</v>
      </c>
      <c r="AS37" s="53">
        <f t="shared" si="165"/>
        <v>4556.1000000000004</v>
      </c>
      <c r="AT37" s="53">
        <f t="shared" si="165"/>
        <v>38480.100000000006</v>
      </c>
      <c r="AU37" s="53">
        <f t="shared" si="165"/>
        <v>431345.3</v>
      </c>
      <c r="AV37" s="53">
        <f t="shared" si="165"/>
        <v>418367.80000000005</v>
      </c>
      <c r="AW37" s="53">
        <f t="shared" si="165"/>
        <v>8121.0999999999995</v>
      </c>
      <c r="AX37" s="53">
        <f t="shared" si="165"/>
        <v>65394.400000000001</v>
      </c>
      <c r="AY37" s="53">
        <f t="shared" si="165"/>
        <v>524605.4</v>
      </c>
      <c r="AZ37" s="53">
        <f t="shared" si="165"/>
        <v>457281.2</v>
      </c>
      <c r="BA37" s="54">
        <f t="shared" si="137"/>
        <v>0.19373267216788359</v>
      </c>
      <c r="BB37" s="54">
        <f t="shared" si="137"/>
        <v>-5.4739704755766394E-2</v>
      </c>
      <c r="BC37" s="53">
        <f t="shared" ref="BC37:DN37" si="166">BC38+BC39+BC40+BC41</f>
        <v>22046.700000000004</v>
      </c>
      <c r="BD37" s="53">
        <f t="shared" si="166"/>
        <v>20092.900000000001</v>
      </c>
      <c r="BE37" s="53">
        <f t="shared" si="166"/>
        <v>45808.6</v>
      </c>
      <c r="BF37" s="53">
        <f t="shared" si="166"/>
        <v>40669.9</v>
      </c>
      <c r="BG37" s="53">
        <f t="shared" si="166"/>
        <v>67855.299999999988</v>
      </c>
      <c r="BH37" s="53">
        <f t="shared" si="166"/>
        <v>60762.8</v>
      </c>
      <c r="BI37" s="54">
        <f t="shared" si="22"/>
        <v>7.5024001977192389E-2</v>
      </c>
      <c r="BJ37" s="54">
        <f t="shared" si="22"/>
        <v>7.4453205263092848E-2</v>
      </c>
      <c r="BK37" s="53">
        <f t="shared" si="166"/>
        <v>43496.3</v>
      </c>
      <c r="BL37" s="53">
        <f t="shared" si="166"/>
        <v>37970.6</v>
      </c>
      <c r="BM37" s="53">
        <f t="shared" si="166"/>
        <v>111351.59999999999</v>
      </c>
      <c r="BN37" s="53">
        <f t="shared" si="166"/>
        <v>98733.4</v>
      </c>
      <c r="BO37" s="54">
        <f t="shared" si="24"/>
        <v>2.737473773949417E-2</v>
      </c>
      <c r="BP37" s="54">
        <f t="shared" si="24"/>
        <v>2.9733267280264819E-2</v>
      </c>
      <c r="BQ37" s="53">
        <f t="shared" si="166"/>
        <v>0</v>
      </c>
      <c r="BR37" s="53">
        <f t="shared" si="166"/>
        <v>0</v>
      </c>
      <c r="BS37" s="53">
        <f t="shared" si="166"/>
        <v>111351.59999999999</v>
      </c>
      <c r="BT37" s="53">
        <f t="shared" si="166"/>
        <v>98733.4</v>
      </c>
      <c r="BU37" s="54">
        <f t="shared" si="25"/>
        <v>-0.27929306364330087</v>
      </c>
      <c r="BV37" s="54">
        <f t="shared" si="25"/>
        <v>-0.27240074430258487</v>
      </c>
      <c r="BW37" s="53">
        <f t="shared" si="166"/>
        <v>0</v>
      </c>
      <c r="BX37" s="53">
        <f t="shared" si="166"/>
        <v>0</v>
      </c>
      <c r="BY37" s="53">
        <f t="shared" si="166"/>
        <v>111351.59999999999</v>
      </c>
      <c r="BZ37" s="53">
        <f t="shared" si="166"/>
        <v>98733.4</v>
      </c>
      <c r="CA37" s="54">
        <f t="shared" si="27"/>
        <v>-0.44901276480778562</v>
      </c>
      <c r="CB37" s="54">
        <f t="shared" si="27"/>
        <v>-0.44961653423654135</v>
      </c>
      <c r="CC37" s="53">
        <f t="shared" si="166"/>
        <v>0</v>
      </c>
      <c r="CD37" s="53">
        <f t="shared" si="166"/>
        <v>0</v>
      </c>
      <c r="CE37" s="53">
        <f t="shared" si="166"/>
        <v>111351.59999999999</v>
      </c>
      <c r="CF37" s="53">
        <f t="shared" si="166"/>
        <v>98733.4</v>
      </c>
      <c r="CG37" s="54">
        <f t="shared" si="29"/>
        <v>-0.59023526450513208</v>
      </c>
      <c r="CH37" s="54">
        <f t="shared" si="29"/>
        <v>-0.59435910287961025</v>
      </c>
      <c r="CI37" s="53">
        <f t="shared" si="166"/>
        <v>0</v>
      </c>
      <c r="CJ37" s="53">
        <f t="shared" si="166"/>
        <v>0</v>
      </c>
      <c r="CK37" s="53">
        <f t="shared" si="166"/>
        <v>111351.59999999999</v>
      </c>
      <c r="CL37" s="53">
        <f t="shared" si="166"/>
        <v>98733.4</v>
      </c>
      <c r="CM37" s="54">
        <f t="shared" si="31"/>
        <v>-0.65373119104807698</v>
      </c>
      <c r="CN37" s="54">
        <f t="shared" si="31"/>
        <v>-0.65621237286424117</v>
      </c>
      <c r="CO37" s="53">
        <f t="shared" si="166"/>
        <v>0</v>
      </c>
      <c r="CP37" s="53">
        <f t="shared" si="166"/>
        <v>0</v>
      </c>
      <c r="CQ37" s="53">
        <f t="shared" si="166"/>
        <v>111351.59999999999</v>
      </c>
      <c r="CR37" s="53">
        <f t="shared" si="166"/>
        <v>98733.4</v>
      </c>
      <c r="CS37" s="54">
        <f t="shared" si="33"/>
        <v>-0.68213057094923557</v>
      </c>
      <c r="CT37" s="54">
        <f t="shared" si="33"/>
        <v>-0.68343264799006054</v>
      </c>
      <c r="CU37" s="53">
        <f t="shared" si="166"/>
        <v>0</v>
      </c>
      <c r="CV37" s="53">
        <f t="shared" si="166"/>
        <v>0</v>
      </c>
      <c r="CW37" s="53">
        <f t="shared" si="166"/>
        <v>111351.59999999999</v>
      </c>
      <c r="CX37" s="53">
        <f t="shared" si="166"/>
        <v>98733.4</v>
      </c>
      <c r="CY37" s="54">
        <f t="shared" si="35"/>
        <v>-0.70972078590892584</v>
      </c>
      <c r="CZ37" s="54">
        <f t="shared" si="35"/>
        <v>-0.71031838941045233</v>
      </c>
      <c r="DA37" s="53">
        <f t="shared" si="166"/>
        <v>0</v>
      </c>
      <c r="DB37" s="53">
        <f t="shared" si="166"/>
        <v>0</v>
      </c>
      <c r="DC37" s="53">
        <f t="shared" si="166"/>
        <v>111351.59999999999</v>
      </c>
      <c r="DD37" s="53">
        <f t="shared" si="166"/>
        <v>98733.4</v>
      </c>
      <c r="DE37" s="54">
        <f t="shared" si="37"/>
        <v>-0.73909461626489148</v>
      </c>
      <c r="DF37" s="54">
        <f t="shared" si="37"/>
        <v>-0.74009845541195474</v>
      </c>
      <c r="DG37" s="53">
        <f t="shared" si="166"/>
        <v>0</v>
      </c>
      <c r="DH37" s="53">
        <f t="shared" si="166"/>
        <v>0</v>
      </c>
      <c r="DI37" s="53">
        <f t="shared" si="166"/>
        <v>111351.59999999999</v>
      </c>
      <c r="DJ37" s="53">
        <f t="shared" si="166"/>
        <v>98733.4</v>
      </c>
      <c r="DK37" s="54">
        <f t="shared" si="39"/>
        <v>-0.74185043861611566</v>
      </c>
      <c r="DL37" s="54">
        <f t="shared" si="39"/>
        <v>-0.76400334825003269</v>
      </c>
      <c r="DM37" s="53">
        <f t="shared" si="166"/>
        <v>0</v>
      </c>
      <c r="DN37" s="53">
        <f t="shared" si="166"/>
        <v>0</v>
      </c>
      <c r="DO37" s="53">
        <f t="shared" ref="DO37:DR37" si="167">DO38+DO39+DO40+DO41</f>
        <v>0</v>
      </c>
      <c r="DP37" s="53">
        <f t="shared" si="167"/>
        <v>0</v>
      </c>
      <c r="DQ37" s="53">
        <f t="shared" si="167"/>
        <v>524605.4</v>
      </c>
      <c r="DR37" s="53">
        <f t="shared" si="167"/>
        <v>457481.3</v>
      </c>
      <c r="DS37" s="54">
        <f>IF($AY$37=0,1,DQ37/$AY$37-1)</f>
        <v>0</v>
      </c>
      <c r="DT37" s="54">
        <f>IF($AZ$37=0,1,DR37/$AZ$37-1)</f>
        <v>4.3758632543822173E-4</v>
      </c>
      <c r="DU37" s="54">
        <f>IF($E$37=0,1,DQ37/$E$37-1)</f>
        <v>0.19373267216788359</v>
      </c>
      <c r="DV37" s="54">
        <f>IF($E$37=0,1,DR37/$E$37-1)</f>
        <v>4.0992667471278832E-2</v>
      </c>
      <c r="DW37" s="52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</row>
    <row r="38" spans="1:268" s="64" customFormat="1" ht="18" customHeight="1">
      <c r="A38" s="230" t="s">
        <v>105</v>
      </c>
      <c r="B38" s="231"/>
      <c r="C38" s="29">
        <f>'[1]прогноз '!B44</f>
        <v>0</v>
      </c>
      <c r="D38" s="31">
        <f>'[1]прогноз '!C44</f>
        <v>255847.2</v>
      </c>
      <c r="E38" s="26">
        <f t="shared" ref="E38:F41" si="168">G38+I38+M38+Q38+U38+Y38+AC38+AG38+AK38+AO38+AS38+AW38</f>
        <v>198407.09999999998</v>
      </c>
      <c r="F38" s="31">
        <f t="shared" si="168"/>
        <v>250987.5</v>
      </c>
      <c r="G38" s="29">
        <f>11+H38</f>
        <v>6155.9</v>
      </c>
      <c r="H38" s="29">
        <v>6144.9</v>
      </c>
      <c r="I38" s="29">
        <f>69+J38</f>
        <v>21916.6</v>
      </c>
      <c r="J38" s="29">
        <v>21847.599999999999</v>
      </c>
      <c r="K38" s="26">
        <f t="shared" si="111"/>
        <v>28072.5</v>
      </c>
      <c r="L38" s="26">
        <f t="shared" si="111"/>
        <v>27992.5</v>
      </c>
      <c r="M38" s="29">
        <f>52.9+N38</f>
        <v>20957.300000000003</v>
      </c>
      <c r="N38" s="29">
        <v>20904.400000000001</v>
      </c>
      <c r="O38" s="26">
        <f t="shared" si="112"/>
        <v>49029.8</v>
      </c>
      <c r="P38" s="26">
        <f t="shared" si="112"/>
        <v>48896.9</v>
      </c>
      <c r="Q38" s="29">
        <f>84.2+R38</f>
        <v>21515.5</v>
      </c>
      <c r="R38" s="29">
        <v>21431.3</v>
      </c>
      <c r="S38" s="26">
        <f t="shared" si="113"/>
        <v>70545.3</v>
      </c>
      <c r="T38" s="26">
        <f t="shared" si="113"/>
        <v>70328.2</v>
      </c>
      <c r="U38" s="29">
        <f>35.1+V38</f>
        <v>24169.1</v>
      </c>
      <c r="V38" s="29">
        <v>24134</v>
      </c>
      <c r="W38" s="26">
        <f t="shared" si="114"/>
        <v>94714.4</v>
      </c>
      <c r="X38" s="26">
        <f t="shared" si="114"/>
        <v>94462.2</v>
      </c>
      <c r="Y38" s="29">
        <f>59.7+Z38</f>
        <v>41202.899999999994</v>
      </c>
      <c r="Z38" s="29">
        <v>41143.199999999997</v>
      </c>
      <c r="AA38" s="26">
        <f t="shared" si="115"/>
        <v>135917.29999999999</v>
      </c>
      <c r="AB38" s="26">
        <f t="shared" si="115"/>
        <v>135605.4</v>
      </c>
      <c r="AC38" s="29">
        <f>65.8+AD38</f>
        <v>20801.8</v>
      </c>
      <c r="AD38" s="29">
        <v>20736</v>
      </c>
      <c r="AE38" s="26">
        <f t="shared" si="116"/>
        <v>156719.09999999998</v>
      </c>
      <c r="AF38" s="26">
        <f t="shared" si="116"/>
        <v>156341.4</v>
      </c>
      <c r="AG38" s="29">
        <v>9123</v>
      </c>
      <c r="AH38" s="29">
        <v>8993.7000000000007</v>
      </c>
      <c r="AI38" s="26">
        <f t="shared" ref="AI38:AJ39" si="169">AE38+AG38</f>
        <v>165842.09999999998</v>
      </c>
      <c r="AJ38" s="26">
        <f t="shared" si="169"/>
        <v>165335.1</v>
      </c>
      <c r="AK38" s="29">
        <v>12950</v>
      </c>
      <c r="AL38" s="29">
        <v>12909.5</v>
      </c>
      <c r="AM38" s="26">
        <f t="shared" ref="AM38:AN39" si="170">AI38+AK38</f>
        <v>178792.09999999998</v>
      </c>
      <c r="AN38" s="26">
        <f t="shared" si="170"/>
        <v>178244.6</v>
      </c>
      <c r="AO38" s="29">
        <v>19615</v>
      </c>
      <c r="AP38" s="29">
        <v>19562.7</v>
      </c>
      <c r="AQ38" s="26">
        <f t="shared" ref="AQ38:AR39" si="171">AM38+AO38</f>
        <v>198407.09999999998</v>
      </c>
      <c r="AR38" s="26">
        <f t="shared" si="171"/>
        <v>197807.30000000002</v>
      </c>
      <c r="AS38" s="29"/>
      <c r="AT38" s="29">
        <v>19121.900000000001</v>
      </c>
      <c r="AU38" s="26">
        <f t="shared" ref="AU38:AV39" si="172">AQ38+AS38</f>
        <v>198407.09999999998</v>
      </c>
      <c r="AV38" s="26">
        <f t="shared" si="172"/>
        <v>216929.2</v>
      </c>
      <c r="AW38" s="29"/>
      <c r="AX38" s="29">
        <v>34058.300000000003</v>
      </c>
      <c r="AY38" s="29">
        <v>226802.1</v>
      </c>
      <c r="AZ38" s="29">
        <v>226061</v>
      </c>
      <c r="BA38" s="55">
        <f t="shared" si="137"/>
        <v>0.14311483812827275</v>
      </c>
      <c r="BB38" s="55">
        <f t="shared" si="137"/>
        <v>-9.9313710842173442E-2</v>
      </c>
      <c r="BC38" s="29">
        <f>79.4+BD38</f>
        <v>8834.6</v>
      </c>
      <c r="BD38" s="29">
        <v>8755.2000000000007</v>
      </c>
      <c r="BE38" s="29">
        <f>79.3+BF38</f>
        <v>21144.1</v>
      </c>
      <c r="BF38" s="29">
        <v>21064.799999999999</v>
      </c>
      <c r="BG38" s="26">
        <f t="shared" ref="BG38:BH41" si="173">BC38+BE38</f>
        <v>29978.699999999997</v>
      </c>
      <c r="BH38" s="26">
        <f t="shared" si="173"/>
        <v>29820</v>
      </c>
      <c r="BI38" s="55">
        <f t="shared" si="22"/>
        <v>6.7902751803366135E-2</v>
      </c>
      <c r="BJ38" s="55">
        <f t="shared" si="22"/>
        <v>6.5285344288648739E-2</v>
      </c>
      <c r="BK38" s="29">
        <f>79.3+BL38</f>
        <v>18762.3</v>
      </c>
      <c r="BL38" s="29">
        <v>18683</v>
      </c>
      <c r="BM38" s="26">
        <f t="shared" ref="BM38:BN39" si="174">BG38+BK38</f>
        <v>48741</v>
      </c>
      <c r="BN38" s="26">
        <f t="shared" si="174"/>
        <v>48503</v>
      </c>
      <c r="BO38" s="55">
        <f t="shared" si="24"/>
        <v>-5.8902952898034489E-3</v>
      </c>
      <c r="BP38" s="55">
        <f t="shared" si="24"/>
        <v>-8.0557254140856127E-3</v>
      </c>
      <c r="BQ38" s="29"/>
      <c r="BR38" s="29"/>
      <c r="BS38" s="26">
        <f t="shared" ref="BS38:BT39" si="175">BM38+BQ38</f>
        <v>48741</v>
      </c>
      <c r="BT38" s="26">
        <f t="shared" si="175"/>
        <v>48503</v>
      </c>
      <c r="BU38" s="55">
        <f t="shared" si="25"/>
        <v>-0.30908224927812344</v>
      </c>
      <c r="BV38" s="55">
        <f t="shared" si="25"/>
        <v>-0.31033355041078825</v>
      </c>
      <c r="BW38" s="29"/>
      <c r="BX38" s="29"/>
      <c r="BY38" s="26">
        <f t="shared" ref="BY38:BZ39" si="176">BS38+BW38</f>
        <v>48741</v>
      </c>
      <c r="BZ38" s="26">
        <f t="shared" si="176"/>
        <v>48503</v>
      </c>
      <c r="CA38" s="55">
        <f t="shared" si="27"/>
        <v>-0.48538976121899091</v>
      </c>
      <c r="CB38" s="55">
        <f t="shared" si="27"/>
        <v>-0.48653535488269384</v>
      </c>
      <c r="CC38" s="29"/>
      <c r="CD38" s="29"/>
      <c r="CE38" s="26">
        <f t="shared" ref="CE38:CF39" si="177">BY38+CC38</f>
        <v>48741</v>
      </c>
      <c r="CF38" s="26">
        <f t="shared" si="177"/>
        <v>48503</v>
      </c>
      <c r="CG38" s="55">
        <f t="shared" si="29"/>
        <v>-0.64139222895098702</v>
      </c>
      <c r="CH38" s="55">
        <f t="shared" si="29"/>
        <v>-0.64232250338113372</v>
      </c>
      <c r="CI38" s="29"/>
      <c r="CJ38" s="29"/>
      <c r="CK38" s="26">
        <f t="shared" ref="CK38:CL39" si="178">CE38+CI38</f>
        <v>48741</v>
      </c>
      <c r="CL38" s="26">
        <f t="shared" si="178"/>
        <v>48503</v>
      </c>
      <c r="CM38" s="55">
        <f t="shared" si="31"/>
        <v>-0.6889913226913631</v>
      </c>
      <c r="CN38" s="55">
        <f t="shared" si="31"/>
        <v>-0.68976227665864576</v>
      </c>
      <c r="CO38" s="29"/>
      <c r="CP38" s="29"/>
      <c r="CQ38" s="26">
        <f t="shared" ref="CQ38:CR39" si="179">CK38+CO38</f>
        <v>48741</v>
      </c>
      <c r="CR38" s="26">
        <f t="shared" si="179"/>
        <v>48503</v>
      </c>
      <c r="CS38" s="55">
        <f t="shared" si="33"/>
        <v>-0.70609995893684407</v>
      </c>
      <c r="CT38" s="55">
        <f t="shared" si="33"/>
        <v>-0.70663821535777949</v>
      </c>
      <c r="CU38" s="29"/>
      <c r="CV38" s="29"/>
      <c r="CW38" s="26">
        <f t="shared" ref="CW38:CX39" si="180">CQ38+CU38</f>
        <v>48741</v>
      </c>
      <c r="CX38" s="26">
        <f t="shared" si="180"/>
        <v>48503</v>
      </c>
      <c r="CY38" s="55">
        <f t="shared" si="35"/>
        <v>-0.72738728389005991</v>
      </c>
      <c r="CZ38" s="55">
        <f t="shared" si="35"/>
        <v>-0.72788516454355423</v>
      </c>
      <c r="DA38" s="29"/>
      <c r="DB38" s="29"/>
      <c r="DC38" s="26">
        <f t="shared" ref="DC38:DD39" si="181">CW38+DA38</f>
        <v>48741</v>
      </c>
      <c r="DD38" s="26">
        <f t="shared" si="181"/>
        <v>48503</v>
      </c>
      <c r="DE38" s="55">
        <f t="shared" si="37"/>
        <v>-0.75433842841309606</v>
      </c>
      <c r="DF38" s="55">
        <f t="shared" si="37"/>
        <v>-0.75479671377143309</v>
      </c>
      <c r="DG38" s="29"/>
      <c r="DH38" s="29"/>
      <c r="DI38" s="26">
        <f t="shared" ref="DI38:DJ39" si="182">DC38+DG38</f>
        <v>48741</v>
      </c>
      <c r="DJ38" s="26">
        <f t="shared" si="182"/>
        <v>48503</v>
      </c>
      <c r="DK38" s="55">
        <f t="shared" si="39"/>
        <v>-0.75433842841309606</v>
      </c>
      <c r="DL38" s="55">
        <f t="shared" si="39"/>
        <v>-0.77641092116690613</v>
      </c>
      <c r="DM38" s="29"/>
      <c r="DN38" s="29"/>
      <c r="DO38" s="29"/>
      <c r="DP38" s="29"/>
      <c r="DQ38" s="29">
        <v>226802.1</v>
      </c>
      <c r="DR38" s="29">
        <v>226061</v>
      </c>
      <c r="DS38" s="55">
        <f>IF($AY$38=0,1,DQ38/$AY$38-1)</f>
        <v>0</v>
      </c>
      <c r="DT38" s="55">
        <f>IF($AZ$38=0,1,DR38/$AZ$38-1)</f>
        <v>0</v>
      </c>
      <c r="DU38" s="55">
        <f>IF($E$38=0,1,DQ38/$E$38-1)</f>
        <v>0.14311483812827275</v>
      </c>
      <c r="DV38" s="55">
        <f>IF($E$38=0,1,DR38/$E$38-1)</f>
        <v>0.13937958873447576</v>
      </c>
      <c r="DW38" s="25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</row>
    <row r="39" spans="1:268" s="64" customFormat="1" ht="18" customHeight="1">
      <c r="A39" s="230" t="s">
        <v>99</v>
      </c>
      <c r="B39" s="231"/>
      <c r="C39" s="29">
        <f>'[1]прогноз '!B45</f>
        <v>0</v>
      </c>
      <c r="D39" s="31">
        <f>'[1]прогноз '!C45</f>
        <v>166222.90000000002</v>
      </c>
      <c r="E39" s="26">
        <f t="shared" si="168"/>
        <v>181036.9</v>
      </c>
      <c r="F39" s="31">
        <f t="shared" si="168"/>
        <v>192929.60000000003</v>
      </c>
      <c r="G39" s="31">
        <v>9387</v>
      </c>
      <c r="H39" s="31">
        <v>8126.4</v>
      </c>
      <c r="I39" s="31">
        <v>18743</v>
      </c>
      <c r="J39" s="31">
        <v>15717.1</v>
      </c>
      <c r="K39" s="26">
        <f t="shared" ref="K39:L41" si="183">G39+I39</f>
        <v>28130</v>
      </c>
      <c r="L39" s="26">
        <f t="shared" si="183"/>
        <v>23843.5</v>
      </c>
      <c r="M39" s="31">
        <v>19220</v>
      </c>
      <c r="N39" s="31">
        <v>15344.1</v>
      </c>
      <c r="O39" s="26">
        <f t="shared" si="112"/>
        <v>47350</v>
      </c>
      <c r="P39" s="26">
        <f t="shared" si="112"/>
        <v>39187.599999999999</v>
      </c>
      <c r="Q39" s="31">
        <v>19439</v>
      </c>
      <c r="R39" s="31">
        <v>15228.3</v>
      </c>
      <c r="S39" s="26">
        <f t="shared" si="113"/>
        <v>66789</v>
      </c>
      <c r="T39" s="26">
        <f t="shared" si="113"/>
        <v>54415.899999999994</v>
      </c>
      <c r="U39" s="31">
        <v>19050</v>
      </c>
      <c r="V39" s="31">
        <v>16283</v>
      </c>
      <c r="W39" s="26">
        <f t="shared" si="114"/>
        <v>85839</v>
      </c>
      <c r="X39" s="26">
        <f t="shared" si="114"/>
        <v>70698.899999999994</v>
      </c>
      <c r="Y39" s="31">
        <v>23241</v>
      </c>
      <c r="Z39" s="31">
        <v>19302.900000000001</v>
      </c>
      <c r="AA39" s="26">
        <f t="shared" si="115"/>
        <v>109080</v>
      </c>
      <c r="AB39" s="26">
        <f t="shared" si="115"/>
        <v>90001.799999999988</v>
      </c>
      <c r="AC39" s="31">
        <v>22590.3</v>
      </c>
      <c r="AD39" s="31">
        <v>18517.3</v>
      </c>
      <c r="AE39" s="26">
        <f t="shared" si="116"/>
        <v>131670.29999999999</v>
      </c>
      <c r="AF39" s="26">
        <f t="shared" si="116"/>
        <v>108519.09999999999</v>
      </c>
      <c r="AG39" s="31">
        <v>14966.5</v>
      </c>
      <c r="AH39" s="31">
        <v>12577.9</v>
      </c>
      <c r="AI39" s="26">
        <f t="shared" si="169"/>
        <v>146636.79999999999</v>
      </c>
      <c r="AJ39" s="26">
        <f t="shared" si="169"/>
        <v>121096.99999999999</v>
      </c>
      <c r="AK39" s="31">
        <v>15608.6</v>
      </c>
      <c r="AL39" s="31">
        <v>13074</v>
      </c>
      <c r="AM39" s="26">
        <f t="shared" si="170"/>
        <v>162245.4</v>
      </c>
      <c r="AN39" s="26">
        <f t="shared" si="170"/>
        <v>134171</v>
      </c>
      <c r="AO39" s="31">
        <v>18791.5</v>
      </c>
      <c r="AP39" s="31">
        <v>16159.7</v>
      </c>
      <c r="AQ39" s="26">
        <f t="shared" si="171"/>
        <v>181036.9</v>
      </c>
      <c r="AR39" s="26">
        <f t="shared" si="171"/>
        <v>150330.70000000001</v>
      </c>
      <c r="AS39" s="31"/>
      <c r="AT39" s="31">
        <v>16291.2</v>
      </c>
      <c r="AU39" s="26">
        <f t="shared" si="172"/>
        <v>181036.9</v>
      </c>
      <c r="AV39" s="26">
        <f t="shared" si="172"/>
        <v>166621.90000000002</v>
      </c>
      <c r="AW39" s="31"/>
      <c r="AX39" s="31">
        <v>26307.7</v>
      </c>
      <c r="AY39" s="31">
        <v>235997.9</v>
      </c>
      <c r="AZ39" s="31">
        <v>189996.9</v>
      </c>
      <c r="BA39" s="55">
        <f t="shared" si="137"/>
        <v>0.30359004158820668</v>
      </c>
      <c r="BB39" s="55">
        <f t="shared" si="137"/>
        <v>-1.5200881565089253E-2</v>
      </c>
      <c r="BC39" s="31">
        <f>1315.6+BD39</f>
        <v>10602.7</v>
      </c>
      <c r="BD39" s="31">
        <v>9287.1</v>
      </c>
      <c r="BE39" s="31">
        <f>3433.7+BF39</f>
        <v>19840.5</v>
      </c>
      <c r="BF39" s="31">
        <v>16406.8</v>
      </c>
      <c r="BG39" s="26">
        <f t="shared" si="173"/>
        <v>30443.200000000001</v>
      </c>
      <c r="BH39" s="26">
        <f t="shared" si="173"/>
        <v>25693.9</v>
      </c>
      <c r="BI39" s="55">
        <f t="shared" si="22"/>
        <v>8.2232492001421909E-2</v>
      </c>
      <c r="BJ39" s="55">
        <f t="shared" si="22"/>
        <v>7.7606056157862868E-2</v>
      </c>
      <c r="BK39" s="31">
        <v>19748</v>
      </c>
      <c r="BL39" s="31">
        <v>16321.5</v>
      </c>
      <c r="BM39" s="26">
        <f t="shared" si="174"/>
        <v>50191.199999999997</v>
      </c>
      <c r="BN39" s="26">
        <f t="shared" si="174"/>
        <v>42015.4</v>
      </c>
      <c r="BO39" s="55">
        <f t="shared" si="24"/>
        <v>6.000422386483617E-2</v>
      </c>
      <c r="BP39" s="55">
        <f t="shared" si="24"/>
        <v>7.2160581408404756E-2</v>
      </c>
      <c r="BQ39" s="31"/>
      <c r="BR39" s="31"/>
      <c r="BS39" s="26">
        <f t="shared" si="175"/>
        <v>50191.199999999997</v>
      </c>
      <c r="BT39" s="26">
        <f t="shared" si="175"/>
        <v>42015.4</v>
      </c>
      <c r="BU39" s="55">
        <f t="shared" si="25"/>
        <v>-0.24851098234739255</v>
      </c>
      <c r="BV39" s="55">
        <f t="shared" si="25"/>
        <v>-0.22788376191517545</v>
      </c>
      <c r="BW39" s="31"/>
      <c r="BX39" s="31"/>
      <c r="BY39" s="26">
        <f t="shared" si="176"/>
        <v>50191.199999999997</v>
      </c>
      <c r="BZ39" s="26">
        <f t="shared" si="176"/>
        <v>42015.4</v>
      </c>
      <c r="CA39" s="55">
        <f t="shared" si="27"/>
        <v>-0.41528675776744839</v>
      </c>
      <c r="CB39" s="55">
        <f t="shared" si="27"/>
        <v>-0.40571352595302046</v>
      </c>
      <c r="CC39" s="31"/>
      <c r="CD39" s="31"/>
      <c r="CE39" s="26">
        <f t="shared" si="177"/>
        <v>50191.199999999997</v>
      </c>
      <c r="CF39" s="26">
        <f t="shared" si="177"/>
        <v>42015.4</v>
      </c>
      <c r="CG39" s="55">
        <f t="shared" si="29"/>
        <v>-0.53986798679867998</v>
      </c>
      <c r="CH39" s="55">
        <f t="shared" si="29"/>
        <v>-0.53317155879104638</v>
      </c>
      <c r="CI39" s="31"/>
      <c r="CJ39" s="31"/>
      <c r="CK39" s="26">
        <f t="shared" si="178"/>
        <v>50191.199999999997</v>
      </c>
      <c r="CL39" s="26">
        <f t="shared" si="178"/>
        <v>42015.4</v>
      </c>
      <c r="CM39" s="55">
        <f t="shared" si="31"/>
        <v>-0.61881153152988944</v>
      </c>
      <c r="CN39" s="55">
        <f t="shared" si="31"/>
        <v>-0.61282944661354533</v>
      </c>
      <c r="CO39" s="31"/>
      <c r="CP39" s="31"/>
      <c r="CQ39" s="26">
        <f t="shared" si="179"/>
        <v>50191.199999999997</v>
      </c>
      <c r="CR39" s="26">
        <f t="shared" si="179"/>
        <v>42015.4</v>
      </c>
      <c r="CS39" s="55">
        <f t="shared" si="33"/>
        <v>-0.6577175715782122</v>
      </c>
      <c r="CT39" s="55">
        <f t="shared" si="33"/>
        <v>-0.65304342799573889</v>
      </c>
      <c r="CU39" s="31"/>
      <c r="CV39" s="31"/>
      <c r="CW39" s="26">
        <f t="shared" si="180"/>
        <v>50191.199999999997</v>
      </c>
      <c r="CX39" s="26">
        <f t="shared" si="180"/>
        <v>42015.4</v>
      </c>
      <c r="CY39" s="55">
        <f t="shared" si="35"/>
        <v>-0.69064639120739324</v>
      </c>
      <c r="CZ39" s="55">
        <f t="shared" si="35"/>
        <v>-0.68685185323206954</v>
      </c>
      <c r="DA39" s="31"/>
      <c r="DB39" s="31"/>
      <c r="DC39" s="26">
        <f t="shared" si="181"/>
        <v>50191.199999999997</v>
      </c>
      <c r="DD39" s="26">
        <f t="shared" si="181"/>
        <v>42015.4</v>
      </c>
      <c r="DE39" s="55">
        <f t="shared" si="37"/>
        <v>-0.72275707328174532</v>
      </c>
      <c r="DF39" s="55">
        <f t="shared" si="37"/>
        <v>-0.7205135078862801</v>
      </c>
      <c r="DG39" s="31"/>
      <c r="DH39" s="31"/>
      <c r="DI39" s="26">
        <f t="shared" si="182"/>
        <v>50191.199999999997</v>
      </c>
      <c r="DJ39" s="26">
        <f t="shared" si="182"/>
        <v>42015.4</v>
      </c>
      <c r="DK39" s="55">
        <f t="shared" si="39"/>
        <v>-0.72275707328174532</v>
      </c>
      <c r="DL39" s="55">
        <f t="shared" si="39"/>
        <v>-0.74783986978902539</v>
      </c>
      <c r="DM39" s="31"/>
      <c r="DN39" s="31"/>
      <c r="DO39" s="31"/>
      <c r="DP39" s="31"/>
      <c r="DQ39" s="31">
        <v>235997.9</v>
      </c>
      <c r="DR39" s="31">
        <f>189996.9+200.1</f>
        <v>190197</v>
      </c>
      <c r="DS39" s="55">
        <f>IF($AY$39=0,1,DQ39/$AY$39-1)</f>
        <v>0</v>
      </c>
      <c r="DT39" s="55">
        <f>IF($AZ$39=0,1,DR39/$AZ$39-1)</f>
        <v>1.0531750781197502E-3</v>
      </c>
      <c r="DU39" s="55">
        <f>IF($E$39=0,1,DQ39/$E$39-1)</f>
        <v>0.30359004158820668</v>
      </c>
      <c r="DV39" s="55">
        <f>IF($E$39=0,1,DR39/$E$39-1)</f>
        <v>5.0597972015649972E-2</v>
      </c>
      <c r="DW39" s="25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30" t="s">
        <v>95</v>
      </c>
      <c r="B40" s="231"/>
      <c r="C40" s="29"/>
      <c r="D40" s="31"/>
      <c r="E40" s="26"/>
      <c r="F40" s="31"/>
      <c r="G40" s="31"/>
      <c r="H40" s="31"/>
      <c r="I40" s="31"/>
      <c r="J40" s="31"/>
      <c r="K40" s="26">
        <f t="shared" si="183"/>
        <v>0</v>
      </c>
      <c r="L40" s="26">
        <f t="shared" si="183"/>
        <v>0</v>
      </c>
      <c r="M40" s="31"/>
      <c r="N40" s="31"/>
      <c r="O40" s="26"/>
      <c r="P40" s="26"/>
      <c r="Q40" s="31"/>
      <c r="R40" s="31"/>
      <c r="S40" s="26"/>
      <c r="T40" s="26"/>
      <c r="U40" s="31"/>
      <c r="V40" s="31"/>
      <c r="W40" s="26"/>
      <c r="X40" s="26"/>
      <c r="Y40" s="31"/>
      <c r="Z40" s="31"/>
      <c r="AA40" s="26"/>
      <c r="AB40" s="26"/>
      <c r="AC40" s="31"/>
      <c r="AD40" s="31"/>
      <c r="AE40" s="26"/>
      <c r="AF40" s="26"/>
      <c r="AG40" s="31"/>
      <c r="AH40" s="31"/>
      <c r="AI40" s="26"/>
      <c r="AJ40" s="26"/>
      <c r="AK40" s="31"/>
      <c r="AL40" s="31"/>
      <c r="AM40" s="26"/>
      <c r="AN40" s="26"/>
      <c r="AO40" s="31"/>
      <c r="AP40" s="31"/>
      <c r="AQ40" s="26"/>
      <c r="AR40" s="26"/>
      <c r="AS40" s="31"/>
      <c r="AT40" s="31"/>
      <c r="AU40" s="26"/>
      <c r="AV40" s="26"/>
      <c r="AW40" s="31"/>
      <c r="AX40" s="31"/>
      <c r="AY40" s="31"/>
      <c r="AZ40" s="31"/>
      <c r="BA40" s="55">
        <f t="shared" si="137"/>
        <v>1</v>
      </c>
      <c r="BB40" s="55">
        <f t="shared" si="137"/>
        <v>1</v>
      </c>
      <c r="BC40" s="31"/>
      <c r="BD40" s="31"/>
      <c r="BE40" s="31"/>
      <c r="BF40" s="31"/>
      <c r="BG40" s="26">
        <f t="shared" si="173"/>
        <v>0</v>
      </c>
      <c r="BH40" s="26">
        <f t="shared" si="173"/>
        <v>0</v>
      </c>
      <c r="BI40" s="55">
        <f t="shared" ref="BI40:BJ61" si="184">IF(K40=0,1,BG40/K40-1)</f>
        <v>1</v>
      </c>
      <c r="BJ40" s="55">
        <f t="shared" si="184"/>
        <v>1</v>
      </c>
      <c r="BK40" s="31"/>
      <c r="BL40" s="31"/>
      <c r="BM40" s="26"/>
      <c r="BN40" s="26"/>
      <c r="BO40" s="55">
        <f t="shared" ref="BO40:BP61" si="185">IF(O40=0,1,BM40/O40-1)</f>
        <v>1</v>
      </c>
      <c r="BP40" s="55">
        <f t="shared" si="185"/>
        <v>1</v>
      </c>
      <c r="BQ40" s="31"/>
      <c r="BR40" s="31"/>
      <c r="BS40" s="26"/>
      <c r="BT40" s="26"/>
      <c r="BU40" s="55">
        <f t="shared" ref="BU40:BV61" si="186">IF(S40=0,1,BS40/S40-1)</f>
        <v>1</v>
      </c>
      <c r="BV40" s="55">
        <f t="shared" si="186"/>
        <v>1</v>
      </c>
      <c r="BW40" s="31"/>
      <c r="BX40" s="31"/>
      <c r="BY40" s="26"/>
      <c r="BZ40" s="26"/>
      <c r="CA40" s="55">
        <f t="shared" ref="CA40:CB61" si="187">IF(W40=0,1,BY40/W40-1)</f>
        <v>1</v>
      </c>
      <c r="CB40" s="55">
        <f t="shared" si="187"/>
        <v>1</v>
      </c>
      <c r="CC40" s="31"/>
      <c r="CD40" s="31"/>
      <c r="CE40" s="26"/>
      <c r="CF40" s="26"/>
      <c r="CG40" s="55">
        <f t="shared" ref="CG40:CH61" si="188">IF(AA40=0,1,CE40/AA40-1)</f>
        <v>1</v>
      </c>
      <c r="CH40" s="55">
        <f t="shared" si="188"/>
        <v>1</v>
      </c>
      <c r="CI40" s="31"/>
      <c r="CJ40" s="31"/>
      <c r="CK40" s="26"/>
      <c r="CL40" s="26"/>
      <c r="CM40" s="55">
        <f t="shared" ref="CM40:CN61" si="189">IF(AE40=0,1,CK40/AE40-1)</f>
        <v>1</v>
      </c>
      <c r="CN40" s="55">
        <f t="shared" si="189"/>
        <v>1</v>
      </c>
      <c r="CO40" s="31"/>
      <c r="CP40" s="31"/>
      <c r="CQ40" s="26"/>
      <c r="CR40" s="26"/>
      <c r="CS40" s="55">
        <f t="shared" ref="CS40:CT61" si="190">IF(AI40=0,1,CQ40/AI40-1)</f>
        <v>1</v>
      </c>
      <c r="CT40" s="55">
        <f t="shared" si="190"/>
        <v>1</v>
      </c>
      <c r="CU40" s="31"/>
      <c r="CV40" s="31"/>
      <c r="CW40" s="26"/>
      <c r="CX40" s="26"/>
      <c r="CY40" s="55">
        <f t="shared" ref="CY40:CZ61" si="191">IF(AM40=0,1,CW40/AM40-1)</f>
        <v>1</v>
      </c>
      <c r="CZ40" s="55">
        <f t="shared" si="191"/>
        <v>1</v>
      </c>
      <c r="DA40" s="31"/>
      <c r="DB40" s="31"/>
      <c r="DC40" s="26"/>
      <c r="DD40" s="26"/>
      <c r="DE40" s="55">
        <f t="shared" ref="DE40:DF61" si="192">IF(AQ40=0,1,DC40/AQ40-1)</f>
        <v>1</v>
      </c>
      <c r="DF40" s="55">
        <f t="shared" si="192"/>
        <v>1</v>
      </c>
      <c r="DG40" s="31"/>
      <c r="DH40" s="31"/>
      <c r="DI40" s="26"/>
      <c r="DJ40" s="26"/>
      <c r="DK40" s="55">
        <f t="shared" ref="DK40:DL61" si="193">IF(AU40=0,1,DI40/AU40-1)</f>
        <v>1</v>
      </c>
      <c r="DL40" s="55">
        <f t="shared" si="193"/>
        <v>1</v>
      </c>
      <c r="DM40" s="31"/>
      <c r="DN40" s="31"/>
      <c r="DO40" s="31"/>
      <c r="DP40" s="31"/>
      <c r="DQ40" s="31"/>
      <c r="DR40" s="31"/>
      <c r="DS40" s="55">
        <f>IF($AY$40=0,1,DQ40/$AY$40-1)</f>
        <v>1</v>
      </c>
      <c r="DT40" s="55">
        <f>IF($AZ$40=0,1,DR40/$AZ$40-1)</f>
        <v>1</v>
      </c>
      <c r="DU40" s="55">
        <f>IF($E$40=0,1,DQ40/$E$40-1)</f>
        <v>1</v>
      </c>
      <c r="DV40" s="55">
        <f>IF($E$40=0,1,DR40/$E$40-1)</f>
        <v>1</v>
      </c>
      <c r="DW40" s="25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30" t="s">
        <v>98</v>
      </c>
      <c r="B41" s="231"/>
      <c r="C41" s="29">
        <f>'[1]прогноз '!B46</f>
        <v>51395.199999999997</v>
      </c>
      <c r="D41" s="31">
        <f>'[1]прогноз '!C46</f>
        <v>31907.499999999996</v>
      </c>
      <c r="E41" s="26">
        <f t="shared" si="168"/>
        <v>60022.400000000001</v>
      </c>
      <c r="F41" s="31">
        <f t="shared" si="168"/>
        <v>39845.1</v>
      </c>
      <c r="G41" s="31">
        <v>2373.6999999999998</v>
      </c>
      <c r="H41" s="31">
        <v>1659.5</v>
      </c>
      <c r="I41" s="31">
        <v>4543.6000000000004</v>
      </c>
      <c r="J41" s="31">
        <v>3056.8</v>
      </c>
      <c r="K41" s="26">
        <f t="shared" si="183"/>
        <v>6917.3</v>
      </c>
      <c r="L41" s="26">
        <f t="shared" si="183"/>
        <v>4716.3</v>
      </c>
      <c r="M41" s="31">
        <v>5087.5</v>
      </c>
      <c r="N41" s="31">
        <v>3081.7</v>
      </c>
      <c r="O41" s="26">
        <f t="shared" si="112"/>
        <v>12004.8</v>
      </c>
      <c r="P41" s="26">
        <f t="shared" si="112"/>
        <v>7798</v>
      </c>
      <c r="Q41" s="31">
        <v>5164.2</v>
      </c>
      <c r="R41" s="31">
        <v>3155.4</v>
      </c>
      <c r="S41" s="26">
        <f t="shared" si="113"/>
        <v>17169</v>
      </c>
      <c r="T41" s="26">
        <f t="shared" si="113"/>
        <v>10953.4</v>
      </c>
      <c r="U41" s="31">
        <v>4372.3</v>
      </c>
      <c r="V41" s="31">
        <v>3275.7</v>
      </c>
      <c r="W41" s="26">
        <f t="shared" si="114"/>
        <v>21541.3</v>
      </c>
      <c r="X41" s="26">
        <f t="shared" si="114"/>
        <v>14229.099999999999</v>
      </c>
      <c r="Y41" s="31">
        <v>5206.6000000000004</v>
      </c>
      <c r="Z41" s="31">
        <v>3564.7</v>
      </c>
      <c r="AA41" s="26">
        <f t="shared" si="115"/>
        <v>26747.9</v>
      </c>
      <c r="AB41" s="26">
        <f t="shared" si="115"/>
        <v>17793.8</v>
      </c>
      <c r="AC41" s="31">
        <v>6438.3</v>
      </c>
      <c r="AD41" s="31">
        <v>4538.7</v>
      </c>
      <c r="AE41" s="26">
        <f t="shared" si="116"/>
        <v>33186.200000000004</v>
      </c>
      <c r="AF41" s="26">
        <f t="shared" si="116"/>
        <v>22332.5</v>
      </c>
      <c r="AG41" s="31">
        <v>4641</v>
      </c>
      <c r="AH41" s="31">
        <v>3122.9</v>
      </c>
      <c r="AI41" s="26">
        <f t="shared" ref="AI41:AJ44" si="194">AE41+AG41</f>
        <v>37827.200000000004</v>
      </c>
      <c r="AJ41" s="26">
        <f t="shared" si="194"/>
        <v>25455.4</v>
      </c>
      <c r="AK41" s="31">
        <v>4737</v>
      </c>
      <c r="AL41" s="31">
        <v>2963.2</v>
      </c>
      <c r="AM41" s="26">
        <f t="shared" ref="AM41:AN44" si="195">AI41+AK41</f>
        <v>42564.200000000004</v>
      </c>
      <c r="AN41" s="26">
        <f t="shared" si="195"/>
        <v>28418.600000000002</v>
      </c>
      <c r="AO41" s="31">
        <v>4781</v>
      </c>
      <c r="AP41" s="31">
        <v>3331.1</v>
      </c>
      <c r="AQ41" s="26">
        <f t="shared" ref="AQ41:AR44" si="196">AM41+AO41</f>
        <v>47345.200000000004</v>
      </c>
      <c r="AR41" s="26">
        <f t="shared" si="196"/>
        <v>31749.7</v>
      </c>
      <c r="AS41" s="31">
        <f>1489.1+AT41</f>
        <v>4556.1000000000004</v>
      </c>
      <c r="AT41" s="31">
        <v>3067</v>
      </c>
      <c r="AU41" s="26">
        <f t="shared" ref="AU41:AV44" si="197">AQ41+AS41</f>
        <v>51901.3</v>
      </c>
      <c r="AV41" s="26">
        <f t="shared" si="197"/>
        <v>34816.699999999997</v>
      </c>
      <c r="AW41" s="31">
        <f>3092.7+AX41</f>
        <v>8121.0999999999995</v>
      </c>
      <c r="AX41" s="31">
        <v>5028.3999999999996</v>
      </c>
      <c r="AY41" s="31">
        <v>61805.4</v>
      </c>
      <c r="AZ41" s="31">
        <v>41223.300000000003</v>
      </c>
      <c r="BA41" s="55">
        <f t="shared" si="137"/>
        <v>2.97055765847416E-2</v>
      </c>
      <c r="BB41" s="55">
        <f t="shared" si="137"/>
        <v>3.4588945692193063E-2</v>
      </c>
      <c r="BC41" s="31">
        <v>2609.4</v>
      </c>
      <c r="BD41" s="31">
        <v>2050.6</v>
      </c>
      <c r="BE41" s="31">
        <f>7433.4-BC41</f>
        <v>4824</v>
      </c>
      <c r="BF41" s="31">
        <v>3198.3</v>
      </c>
      <c r="BG41" s="26">
        <f t="shared" si="173"/>
        <v>7433.4</v>
      </c>
      <c r="BH41" s="26">
        <f t="shared" si="173"/>
        <v>5248.9</v>
      </c>
      <c r="BI41" s="55">
        <f t="shared" si="184"/>
        <v>7.461003570757363E-2</v>
      </c>
      <c r="BJ41" s="55">
        <f t="shared" si="184"/>
        <v>0.11292750673197194</v>
      </c>
      <c r="BK41" s="31">
        <v>4986</v>
      </c>
      <c r="BL41" s="31">
        <v>2966.1</v>
      </c>
      <c r="BM41" s="26">
        <f t="shared" ref="BM41:BN44" si="198">BG41+BK41</f>
        <v>12419.4</v>
      </c>
      <c r="BN41" s="26">
        <f t="shared" si="198"/>
        <v>8215</v>
      </c>
      <c r="BO41" s="55">
        <f t="shared" si="185"/>
        <v>3.4536185525789742E-2</v>
      </c>
      <c r="BP41" s="55">
        <f t="shared" si="185"/>
        <v>5.3475250064118907E-2</v>
      </c>
      <c r="BQ41" s="31"/>
      <c r="BR41" s="31"/>
      <c r="BS41" s="26">
        <f t="shared" ref="BS41:BT44" si="199">BM41+BQ41</f>
        <v>12419.4</v>
      </c>
      <c r="BT41" s="26">
        <f t="shared" si="199"/>
        <v>8215</v>
      </c>
      <c r="BU41" s="55">
        <f t="shared" si="186"/>
        <v>-0.27663812685654376</v>
      </c>
      <c r="BV41" s="55">
        <f t="shared" si="186"/>
        <v>-0.25000456479266708</v>
      </c>
      <c r="BW41" s="31"/>
      <c r="BX41" s="31"/>
      <c r="BY41" s="26">
        <f t="shared" ref="BY41:BZ44" si="200">BS41+BW41</f>
        <v>12419.4</v>
      </c>
      <c r="BZ41" s="26">
        <f t="shared" si="200"/>
        <v>8215</v>
      </c>
      <c r="CA41" s="55">
        <f t="shared" si="187"/>
        <v>-0.42346097960661611</v>
      </c>
      <c r="CB41" s="55">
        <f t="shared" si="187"/>
        <v>-0.42266200954382216</v>
      </c>
      <c r="CC41" s="31"/>
      <c r="CD41" s="31"/>
      <c r="CE41" s="26">
        <f t="shared" ref="CE41:CF44" si="201">BY41+CC41</f>
        <v>12419.4</v>
      </c>
      <c r="CF41" s="26">
        <f t="shared" si="201"/>
        <v>8215</v>
      </c>
      <c r="CG41" s="55">
        <f t="shared" si="188"/>
        <v>-0.53568691373902255</v>
      </c>
      <c r="CH41" s="55">
        <f t="shared" si="188"/>
        <v>-0.5383223369937844</v>
      </c>
      <c r="CI41" s="31"/>
      <c r="CJ41" s="31"/>
      <c r="CK41" s="26">
        <f t="shared" ref="CK41:CL44" si="202">CE41+CI41</f>
        <v>12419.4</v>
      </c>
      <c r="CL41" s="26">
        <f t="shared" si="202"/>
        <v>8215</v>
      </c>
      <c r="CM41" s="55">
        <f t="shared" si="189"/>
        <v>-0.62576613170534745</v>
      </c>
      <c r="CN41" s="55">
        <f t="shared" si="189"/>
        <v>-0.63215045337512588</v>
      </c>
      <c r="CO41" s="31"/>
      <c r="CP41" s="31"/>
      <c r="CQ41" s="26">
        <f t="shared" ref="CQ41:CR44" si="203">CK41+CO41</f>
        <v>12419.4</v>
      </c>
      <c r="CR41" s="26">
        <f t="shared" si="203"/>
        <v>8215</v>
      </c>
      <c r="CS41" s="55">
        <f t="shared" si="190"/>
        <v>-0.67168069537264197</v>
      </c>
      <c r="CT41" s="55">
        <f t="shared" si="190"/>
        <v>-0.67727869135821872</v>
      </c>
      <c r="CU41" s="31"/>
      <c r="CV41" s="31"/>
      <c r="CW41" s="26">
        <f t="shared" ref="CW41:CX44" si="204">CQ41+CU41</f>
        <v>12419.4</v>
      </c>
      <c r="CX41" s="26">
        <f t="shared" si="204"/>
        <v>8215</v>
      </c>
      <c r="CY41" s="55">
        <f t="shared" si="191"/>
        <v>-0.70821958359372439</v>
      </c>
      <c r="CZ41" s="55">
        <f t="shared" si="191"/>
        <v>-0.71092875792614696</v>
      </c>
      <c r="DA41" s="31"/>
      <c r="DB41" s="31"/>
      <c r="DC41" s="26">
        <f t="shared" ref="DC41:DD44" si="205">CW41+DA41</f>
        <v>12419.4</v>
      </c>
      <c r="DD41" s="26">
        <f t="shared" si="205"/>
        <v>8215</v>
      </c>
      <c r="DE41" s="55">
        <f t="shared" si="192"/>
        <v>-0.73768407357028809</v>
      </c>
      <c r="DF41" s="55">
        <f t="shared" si="192"/>
        <v>-0.74125739770769483</v>
      </c>
      <c r="DG41" s="31"/>
      <c r="DH41" s="31"/>
      <c r="DI41" s="26">
        <f t="shared" ref="DI41:DJ44" si="206">DC41+DG41</f>
        <v>12419.4</v>
      </c>
      <c r="DJ41" s="26">
        <f t="shared" si="206"/>
        <v>8215</v>
      </c>
      <c r="DK41" s="55">
        <f t="shared" si="193"/>
        <v>-0.76071119605867299</v>
      </c>
      <c r="DL41" s="55">
        <f t="shared" si="193"/>
        <v>-0.76405001048347487</v>
      </c>
      <c r="DM41" s="31"/>
      <c r="DN41" s="31"/>
      <c r="DO41" s="31"/>
      <c r="DP41" s="31"/>
      <c r="DQ41" s="31">
        <v>61805.4</v>
      </c>
      <c r="DR41" s="31">
        <v>41223.300000000003</v>
      </c>
      <c r="DS41" s="55">
        <f>IF($AY$41=0,1,DQ41/$AY$41-1)</f>
        <v>0</v>
      </c>
      <c r="DT41" s="55">
        <f>IF($AZ$41=0,1,DR41/$AZ$41-1)</f>
        <v>0</v>
      </c>
      <c r="DU41" s="55">
        <f>IF($E$41=0,1,DQ41/$E$41-1)</f>
        <v>2.97055765847416E-2</v>
      </c>
      <c r="DV41" s="55">
        <f>IF($E$41=0,1,DR41/$E$41-1)</f>
        <v>-0.31320140480887138</v>
      </c>
      <c r="DW41" s="25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8" customFormat="1" ht="18" customHeight="1">
      <c r="A42" s="329" t="s">
        <v>97</v>
      </c>
      <c r="B42" s="330"/>
      <c r="C42" s="53">
        <f>'[1]прогноз '!B48</f>
        <v>0</v>
      </c>
      <c r="D42" s="36">
        <f>'[1]прогноз '!C48</f>
        <v>7299</v>
      </c>
      <c r="E42" s="23">
        <f>G42+I42+M42+Q42+U42+Y42+AC42+AG42+AK42+AO42+AS42+AW42</f>
        <v>8648.7999999999993</v>
      </c>
      <c r="F42" s="36">
        <f>H42+J42+N42+R42+V42+Z42+AD42+AH42+AL42+AP42+AT42+AX42</f>
        <v>8648.9999999999982</v>
      </c>
      <c r="G42" s="36">
        <v>612.79999999999995</v>
      </c>
      <c r="H42" s="36">
        <v>612.79999999999995</v>
      </c>
      <c r="I42" s="36">
        <v>612.79999999999995</v>
      </c>
      <c r="J42" s="36">
        <v>612.79999999999995</v>
      </c>
      <c r="K42" s="23">
        <f>G42+I42</f>
        <v>1225.5999999999999</v>
      </c>
      <c r="L42" s="23">
        <f>H42+J42</f>
        <v>1225.5999999999999</v>
      </c>
      <c r="M42" s="36">
        <v>612.79999999999995</v>
      </c>
      <c r="N42" s="36">
        <v>612.79999999999995</v>
      </c>
      <c r="O42" s="23">
        <f t="shared" ref="O42:P44" si="207">K42+M42</f>
        <v>1838.3999999999999</v>
      </c>
      <c r="P42" s="23">
        <f t="shared" si="207"/>
        <v>1838.3999999999999</v>
      </c>
      <c r="Q42" s="36">
        <v>1044.5</v>
      </c>
      <c r="R42" s="36">
        <v>1044.5</v>
      </c>
      <c r="S42" s="23">
        <f t="shared" ref="S42:T44" si="208">O42+Q42</f>
        <v>2882.8999999999996</v>
      </c>
      <c r="T42" s="23">
        <f t="shared" si="208"/>
        <v>2882.8999999999996</v>
      </c>
      <c r="U42" s="36">
        <v>720.9</v>
      </c>
      <c r="V42" s="36">
        <v>720.9</v>
      </c>
      <c r="W42" s="23">
        <f t="shared" ref="W42:X44" si="209">S42+U42</f>
        <v>3603.7999999999997</v>
      </c>
      <c r="X42" s="23">
        <f t="shared" si="209"/>
        <v>3603.7999999999997</v>
      </c>
      <c r="Y42" s="36">
        <v>721</v>
      </c>
      <c r="Z42" s="36">
        <v>720.6</v>
      </c>
      <c r="AA42" s="23">
        <f t="shared" ref="AA42:AB44" si="210">W42+Y42</f>
        <v>4324.7999999999993</v>
      </c>
      <c r="AB42" s="23">
        <f t="shared" si="210"/>
        <v>4324.3999999999996</v>
      </c>
      <c r="AC42" s="36">
        <v>721</v>
      </c>
      <c r="AD42" s="36">
        <v>720.7</v>
      </c>
      <c r="AE42" s="23">
        <f t="shared" ref="AE42:AF44" si="211">AA42+AC42</f>
        <v>5045.7999999999993</v>
      </c>
      <c r="AF42" s="23">
        <f t="shared" si="211"/>
        <v>5045.0999999999995</v>
      </c>
      <c r="AG42" s="36">
        <v>721</v>
      </c>
      <c r="AH42" s="36">
        <v>720.7</v>
      </c>
      <c r="AI42" s="23">
        <f t="shared" si="194"/>
        <v>5766.7999999999993</v>
      </c>
      <c r="AJ42" s="23">
        <f t="shared" si="194"/>
        <v>5765.7999999999993</v>
      </c>
      <c r="AK42" s="36">
        <v>720</v>
      </c>
      <c r="AL42" s="36">
        <v>720.7</v>
      </c>
      <c r="AM42" s="23">
        <f t="shared" si="195"/>
        <v>6486.7999999999993</v>
      </c>
      <c r="AN42" s="23">
        <f t="shared" si="195"/>
        <v>6486.4999999999991</v>
      </c>
      <c r="AO42" s="36">
        <v>720</v>
      </c>
      <c r="AP42" s="36">
        <v>720.7</v>
      </c>
      <c r="AQ42" s="23">
        <f t="shared" si="196"/>
        <v>7206.7999999999993</v>
      </c>
      <c r="AR42" s="23">
        <f t="shared" si="196"/>
        <v>7207.1999999999989</v>
      </c>
      <c r="AS42" s="36">
        <v>721</v>
      </c>
      <c r="AT42" s="36">
        <v>720.7</v>
      </c>
      <c r="AU42" s="23">
        <f t="shared" si="197"/>
        <v>7927.7999999999993</v>
      </c>
      <c r="AV42" s="23">
        <f t="shared" si="197"/>
        <v>7927.8999999999987</v>
      </c>
      <c r="AW42" s="36">
        <v>721</v>
      </c>
      <c r="AX42" s="36">
        <v>721.1</v>
      </c>
      <c r="AY42" s="36">
        <v>8148</v>
      </c>
      <c r="AZ42" s="36">
        <v>8148.1</v>
      </c>
      <c r="BA42" s="56">
        <f t="shared" ref="BA42:BB57" si="212">IF(E42=0,1,AY42/E42-1)</f>
        <v>-5.7903986680232999E-2</v>
      </c>
      <c r="BB42" s="56">
        <f t="shared" si="212"/>
        <v>-5.7914209735229316E-2</v>
      </c>
      <c r="BC42" s="36">
        <v>819</v>
      </c>
      <c r="BD42" s="36">
        <v>818.5</v>
      </c>
      <c r="BE42" s="36">
        <v>666.3</v>
      </c>
      <c r="BF42" s="36">
        <v>666.3</v>
      </c>
      <c r="BG42" s="23">
        <f>BC42+BE42</f>
        <v>1485.3</v>
      </c>
      <c r="BH42" s="23">
        <f>BD42+BF42</f>
        <v>1484.8</v>
      </c>
      <c r="BI42" s="56">
        <f t="shared" si="184"/>
        <v>0.21189621409921666</v>
      </c>
      <c r="BJ42" s="56">
        <f t="shared" si="184"/>
        <v>0.21148825065274157</v>
      </c>
      <c r="BK42" s="36">
        <v>759</v>
      </c>
      <c r="BL42" s="36">
        <v>666</v>
      </c>
      <c r="BM42" s="23">
        <f t="shared" si="198"/>
        <v>2244.3000000000002</v>
      </c>
      <c r="BN42" s="23">
        <f t="shared" si="198"/>
        <v>2150.8000000000002</v>
      </c>
      <c r="BO42" s="56">
        <f t="shared" si="185"/>
        <v>0.22078981723237612</v>
      </c>
      <c r="BP42" s="56">
        <f t="shared" si="185"/>
        <v>0.16993037423846835</v>
      </c>
      <c r="BQ42" s="36"/>
      <c r="BR42" s="36"/>
      <c r="BS42" s="23">
        <f t="shared" si="199"/>
        <v>2244.3000000000002</v>
      </c>
      <c r="BT42" s="23">
        <f t="shared" si="199"/>
        <v>2150.8000000000002</v>
      </c>
      <c r="BU42" s="56">
        <f t="shared" si="186"/>
        <v>-0.2215130597662075</v>
      </c>
      <c r="BV42" s="56">
        <f t="shared" si="186"/>
        <v>-0.25394567969752668</v>
      </c>
      <c r="BW42" s="36"/>
      <c r="BX42" s="36"/>
      <c r="BY42" s="23">
        <f t="shared" si="200"/>
        <v>2244.3000000000002</v>
      </c>
      <c r="BZ42" s="23">
        <f t="shared" si="200"/>
        <v>2150.8000000000002</v>
      </c>
      <c r="CA42" s="56">
        <f t="shared" si="187"/>
        <v>-0.37724069038237407</v>
      </c>
      <c r="CB42" s="56">
        <f t="shared" si="187"/>
        <v>-0.40318552638881167</v>
      </c>
      <c r="CC42" s="36"/>
      <c r="CD42" s="36"/>
      <c r="CE42" s="23">
        <f t="shared" si="201"/>
        <v>2244.3000000000002</v>
      </c>
      <c r="CF42" s="23">
        <f t="shared" si="201"/>
        <v>2150.8000000000002</v>
      </c>
      <c r="CG42" s="56">
        <f t="shared" si="188"/>
        <v>-0.4810627081021086</v>
      </c>
      <c r="CH42" s="56">
        <f t="shared" si="188"/>
        <v>-0.50263620386643226</v>
      </c>
      <c r="CI42" s="36"/>
      <c r="CJ42" s="36"/>
      <c r="CK42" s="23">
        <f t="shared" si="202"/>
        <v>2244.3000000000002</v>
      </c>
      <c r="CL42" s="23">
        <f t="shared" si="202"/>
        <v>2150.8000000000002</v>
      </c>
      <c r="CM42" s="56">
        <f t="shared" si="189"/>
        <v>-0.55521423758373289</v>
      </c>
      <c r="CN42" s="56">
        <f t="shared" si="189"/>
        <v>-0.5736853580702066</v>
      </c>
      <c r="CO42" s="36"/>
      <c r="CP42" s="36"/>
      <c r="CQ42" s="23">
        <f t="shared" si="203"/>
        <v>2244.3000000000002</v>
      </c>
      <c r="CR42" s="23">
        <f t="shared" si="203"/>
        <v>2150.8000000000002</v>
      </c>
      <c r="CS42" s="56">
        <f t="shared" si="190"/>
        <v>-0.61082402719012263</v>
      </c>
      <c r="CT42" s="56">
        <f t="shared" si="190"/>
        <v>-0.62697283984876329</v>
      </c>
      <c r="CU42" s="36"/>
      <c r="CV42" s="36"/>
      <c r="CW42" s="23">
        <f t="shared" si="204"/>
        <v>2244.3000000000002</v>
      </c>
      <c r="CX42" s="23">
        <f t="shared" si="204"/>
        <v>2150.8000000000002</v>
      </c>
      <c r="CY42" s="56">
        <f t="shared" si="191"/>
        <v>-0.65402047234383665</v>
      </c>
      <c r="CZ42" s="56">
        <f t="shared" si="191"/>
        <v>-0.66841902412703291</v>
      </c>
      <c r="DA42" s="36"/>
      <c r="DB42" s="36"/>
      <c r="DC42" s="23">
        <f t="shared" si="205"/>
        <v>2244.3000000000002</v>
      </c>
      <c r="DD42" s="23">
        <f t="shared" si="205"/>
        <v>2150.8000000000002</v>
      </c>
      <c r="DE42" s="56">
        <f t="shared" si="192"/>
        <v>-0.68858578009657534</v>
      </c>
      <c r="DF42" s="56">
        <f t="shared" si="192"/>
        <v>-0.70157620157620149</v>
      </c>
      <c r="DG42" s="36"/>
      <c r="DH42" s="36"/>
      <c r="DI42" s="23">
        <f t="shared" si="206"/>
        <v>2244.3000000000002</v>
      </c>
      <c r="DJ42" s="23">
        <f t="shared" si="206"/>
        <v>2150.8000000000002</v>
      </c>
      <c r="DK42" s="56">
        <f t="shared" si="193"/>
        <v>-0.71690759100885493</v>
      </c>
      <c r="DL42" s="56">
        <f t="shared" si="193"/>
        <v>-0.72870495339244945</v>
      </c>
      <c r="DM42" s="36"/>
      <c r="DN42" s="36"/>
      <c r="DO42" s="36"/>
      <c r="DP42" s="36"/>
      <c r="DQ42" s="36">
        <v>8148</v>
      </c>
      <c r="DR42" s="36">
        <v>8148.1</v>
      </c>
      <c r="DS42" s="56">
        <f>IF($AY$42=0,1,DQ42/$AY$42-1)</f>
        <v>0</v>
      </c>
      <c r="DT42" s="56">
        <f>IF($AZ$42=0,1,DR42/$AZ$42-1)</f>
        <v>0</v>
      </c>
      <c r="DU42" s="56">
        <f>IF($E$42=0,1,DQ42/$E$42-1)</f>
        <v>-5.7903986680232999E-2</v>
      </c>
      <c r="DV42" s="56">
        <f>IF($E$42=0,1,DR42/$E$42-1)</f>
        <v>-5.7892424382573138E-2</v>
      </c>
      <c r="DW42" s="52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</row>
    <row r="43" spans="1:268" s="68" customFormat="1" ht="18" customHeight="1">
      <c r="A43" s="329" t="s">
        <v>101</v>
      </c>
      <c r="B43" s="330"/>
      <c r="C43" s="53">
        <f>'[1]прогноз '!B50</f>
        <v>63428.200000000004</v>
      </c>
      <c r="D43" s="53">
        <f>'[1]прогноз '!C50</f>
        <v>63416.600000000006</v>
      </c>
      <c r="E43" s="53">
        <f>11.6+F43</f>
        <v>58234.6</v>
      </c>
      <c r="F43" s="53">
        <f>H43+J43+N43+R43+V43+Z43+AD43+AH43+AL43+AP43+AT43+AX43</f>
        <v>58223</v>
      </c>
      <c r="G43" s="53">
        <v>3606</v>
      </c>
      <c r="H43" s="53">
        <v>2640.2</v>
      </c>
      <c r="I43" s="53">
        <v>5652</v>
      </c>
      <c r="J43" s="53">
        <v>4288.8</v>
      </c>
      <c r="K43" s="23">
        <f>G43+I43</f>
        <v>9258</v>
      </c>
      <c r="L43" s="23">
        <f>H43+J43</f>
        <v>6929</v>
      </c>
      <c r="M43" s="53">
        <v>6789</v>
      </c>
      <c r="N43" s="53">
        <v>4873.5</v>
      </c>
      <c r="O43" s="23">
        <f t="shared" si="207"/>
        <v>16047</v>
      </c>
      <c r="P43" s="23">
        <f t="shared" si="207"/>
        <v>11802.5</v>
      </c>
      <c r="Q43" s="53">
        <v>7502</v>
      </c>
      <c r="R43" s="53">
        <v>5254.8</v>
      </c>
      <c r="S43" s="23">
        <f t="shared" si="208"/>
        <v>23549</v>
      </c>
      <c r="T43" s="23">
        <f t="shared" si="208"/>
        <v>17057.3</v>
      </c>
      <c r="U43" s="53">
        <v>6815</v>
      </c>
      <c r="V43" s="53">
        <v>4617.8</v>
      </c>
      <c r="W43" s="23">
        <f t="shared" si="209"/>
        <v>30364</v>
      </c>
      <c r="X43" s="23">
        <f t="shared" si="209"/>
        <v>21675.1</v>
      </c>
      <c r="Y43" s="53">
        <v>6420</v>
      </c>
      <c r="Z43" s="53">
        <v>3985.8</v>
      </c>
      <c r="AA43" s="23">
        <f t="shared" si="210"/>
        <v>36784</v>
      </c>
      <c r="AB43" s="23">
        <f t="shared" si="210"/>
        <v>25660.899999999998</v>
      </c>
      <c r="AC43" s="53">
        <f>1+AD43</f>
        <v>4161.1000000000004</v>
      </c>
      <c r="AD43" s="53">
        <v>4160.1000000000004</v>
      </c>
      <c r="AE43" s="23">
        <f t="shared" si="211"/>
        <v>40945.1</v>
      </c>
      <c r="AF43" s="23">
        <f t="shared" si="211"/>
        <v>29821</v>
      </c>
      <c r="AG43" s="53">
        <v>508</v>
      </c>
      <c r="AH43" s="53">
        <v>3447.9</v>
      </c>
      <c r="AI43" s="23">
        <f t="shared" si="194"/>
        <v>41453.1</v>
      </c>
      <c r="AJ43" s="23">
        <f t="shared" si="194"/>
        <v>33268.9</v>
      </c>
      <c r="AK43" s="53">
        <v>475</v>
      </c>
      <c r="AL43" s="53">
        <v>5652.4</v>
      </c>
      <c r="AM43" s="23">
        <f t="shared" si="195"/>
        <v>41928.1</v>
      </c>
      <c r="AN43" s="23">
        <f t="shared" si="195"/>
        <v>38921.300000000003</v>
      </c>
      <c r="AO43" s="53">
        <v>857</v>
      </c>
      <c r="AP43" s="53">
        <v>5803.2</v>
      </c>
      <c r="AQ43" s="23">
        <f t="shared" si="196"/>
        <v>42785.1</v>
      </c>
      <c r="AR43" s="23">
        <f t="shared" si="196"/>
        <v>44724.5</v>
      </c>
      <c r="AS43" s="53">
        <f>0+AT43</f>
        <v>3973.5</v>
      </c>
      <c r="AT43" s="53">
        <v>3973.5</v>
      </c>
      <c r="AU43" s="23">
        <f t="shared" si="197"/>
        <v>46758.6</v>
      </c>
      <c r="AV43" s="23">
        <f t="shared" si="197"/>
        <v>48698</v>
      </c>
      <c r="AW43" s="53">
        <f>5.4+AX43</f>
        <v>9530.4</v>
      </c>
      <c r="AX43" s="53">
        <v>9525</v>
      </c>
      <c r="AY43" s="53">
        <v>64105</v>
      </c>
      <c r="AZ43" s="53">
        <v>64105.2</v>
      </c>
      <c r="BA43" s="56">
        <f t="shared" si="212"/>
        <v>0.10080605001150511</v>
      </c>
      <c r="BB43" s="56">
        <f t="shared" si="212"/>
        <v>0.10102880305034079</v>
      </c>
      <c r="BC43" s="53">
        <v>2753</v>
      </c>
      <c r="BD43" s="53">
        <v>2752.9</v>
      </c>
      <c r="BE43" s="53">
        <v>5195</v>
      </c>
      <c r="BF43" s="53">
        <v>5194.8</v>
      </c>
      <c r="BG43" s="23">
        <f>BC43+BE43</f>
        <v>7948</v>
      </c>
      <c r="BH43" s="23">
        <f>BD43+BF43</f>
        <v>7947.7000000000007</v>
      </c>
      <c r="BI43" s="56">
        <f t="shared" si="184"/>
        <v>-0.14149924389717006</v>
      </c>
      <c r="BJ43" s="56">
        <f t="shared" si="184"/>
        <v>0.14701977197286786</v>
      </c>
      <c r="BK43" s="53">
        <v>7449</v>
      </c>
      <c r="BL43" s="53">
        <v>5354</v>
      </c>
      <c r="BM43" s="23">
        <f t="shared" si="198"/>
        <v>15397</v>
      </c>
      <c r="BN43" s="23">
        <f t="shared" si="198"/>
        <v>13301.7</v>
      </c>
      <c r="BO43" s="56">
        <f t="shared" si="185"/>
        <v>-4.0506013585093759E-2</v>
      </c>
      <c r="BP43" s="56">
        <f t="shared" si="185"/>
        <v>0.12702393560686298</v>
      </c>
      <c r="BQ43" s="53"/>
      <c r="BR43" s="53"/>
      <c r="BS43" s="23">
        <f t="shared" si="199"/>
        <v>15397</v>
      </c>
      <c r="BT43" s="23">
        <f t="shared" si="199"/>
        <v>13301.7</v>
      </c>
      <c r="BU43" s="56">
        <f t="shared" si="186"/>
        <v>-0.3461718119665379</v>
      </c>
      <c r="BV43" s="56">
        <f t="shared" si="186"/>
        <v>-0.22017552602111701</v>
      </c>
      <c r="BW43" s="53"/>
      <c r="BX43" s="53"/>
      <c r="BY43" s="23">
        <f t="shared" si="200"/>
        <v>15397</v>
      </c>
      <c r="BZ43" s="23">
        <f t="shared" si="200"/>
        <v>13301.7</v>
      </c>
      <c r="CA43" s="56">
        <f t="shared" si="187"/>
        <v>-0.49291924647609009</v>
      </c>
      <c r="CB43" s="56">
        <f t="shared" si="187"/>
        <v>-0.3863142499919261</v>
      </c>
      <c r="CC43" s="53"/>
      <c r="CD43" s="53"/>
      <c r="CE43" s="23">
        <f t="shared" si="201"/>
        <v>15397</v>
      </c>
      <c r="CF43" s="23">
        <f t="shared" si="201"/>
        <v>13301.7</v>
      </c>
      <c r="CG43" s="56">
        <f t="shared" si="188"/>
        <v>-0.58142127011744238</v>
      </c>
      <c r="CH43" s="56">
        <f t="shared" si="188"/>
        <v>-0.48163548433609105</v>
      </c>
      <c r="CI43" s="53"/>
      <c r="CJ43" s="53"/>
      <c r="CK43" s="23">
        <f t="shared" si="202"/>
        <v>15397</v>
      </c>
      <c r="CL43" s="23">
        <f t="shared" si="202"/>
        <v>13301.7</v>
      </c>
      <c r="CM43" s="56">
        <f t="shared" si="189"/>
        <v>-0.6239598877521364</v>
      </c>
      <c r="CN43" s="56">
        <f t="shared" si="189"/>
        <v>-0.55394855973978063</v>
      </c>
      <c r="CO43" s="53"/>
      <c r="CP43" s="53"/>
      <c r="CQ43" s="23">
        <f t="shared" si="203"/>
        <v>15397</v>
      </c>
      <c r="CR43" s="23">
        <f t="shared" si="203"/>
        <v>13301.7</v>
      </c>
      <c r="CS43" s="56">
        <f t="shared" si="190"/>
        <v>-0.6285681891101027</v>
      </c>
      <c r="CT43" s="56">
        <f t="shared" si="190"/>
        <v>-0.60017614047954693</v>
      </c>
      <c r="CU43" s="53"/>
      <c r="CV43" s="53"/>
      <c r="CW43" s="23">
        <f t="shared" si="204"/>
        <v>15397</v>
      </c>
      <c r="CX43" s="23">
        <f t="shared" si="204"/>
        <v>13301.7</v>
      </c>
      <c r="CY43" s="56">
        <f t="shared" si="191"/>
        <v>-0.63277610957806341</v>
      </c>
      <c r="CZ43" s="56">
        <f t="shared" si="191"/>
        <v>-0.65824111733164103</v>
      </c>
      <c r="DA43" s="53"/>
      <c r="DB43" s="53"/>
      <c r="DC43" s="23">
        <f t="shared" si="205"/>
        <v>15397</v>
      </c>
      <c r="DD43" s="23">
        <f t="shared" si="205"/>
        <v>13301.7</v>
      </c>
      <c r="DE43" s="56">
        <f t="shared" si="192"/>
        <v>-0.64013172810160546</v>
      </c>
      <c r="DF43" s="56">
        <f t="shared" si="192"/>
        <v>-0.70258583103220829</v>
      </c>
      <c r="DG43" s="53"/>
      <c r="DH43" s="53"/>
      <c r="DI43" s="23">
        <f t="shared" si="206"/>
        <v>15397</v>
      </c>
      <c r="DJ43" s="23">
        <f t="shared" si="206"/>
        <v>13301.7</v>
      </c>
      <c r="DK43" s="56">
        <f t="shared" si="193"/>
        <v>-0.67071298114143707</v>
      </c>
      <c r="DL43" s="56">
        <f t="shared" si="193"/>
        <v>-0.72685325886073349</v>
      </c>
      <c r="DM43" s="53"/>
      <c r="DN43" s="53"/>
      <c r="DO43" s="53"/>
      <c r="DP43" s="53"/>
      <c r="DQ43" s="53">
        <v>64105</v>
      </c>
      <c r="DR43" s="53">
        <v>64105.2</v>
      </c>
      <c r="DS43" s="56">
        <f>IF($AY$43=0,1,DQ43/$AY$43-1)</f>
        <v>0</v>
      </c>
      <c r="DT43" s="56">
        <f>IF($AZ$43=0,1,DR43/$AZ$43-1)</f>
        <v>0</v>
      </c>
      <c r="DU43" s="56">
        <f>IF($E$43=0,1,DQ43/$E$43-1)</f>
        <v>0.10080605001150511</v>
      </c>
      <c r="DV43" s="56">
        <f>IF($E$43=0,1,DR43/$E$43-1)</f>
        <v>0.10080948439587467</v>
      </c>
      <c r="DW43" s="52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29" t="s">
        <v>102</v>
      </c>
      <c r="B44" s="330"/>
      <c r="C44" s="36">
        <f>'[1]прогноз '!B60</f>
        <v>33772.400000000001</v>
      </c>
      <c r="D44" s="36">
        <f>'[1]прогноз '!C60</f>
        <v>28812.7</v>
      </c>
      <c r="E44" s="36">
        <v>103357</v>
      </c>
      <c r="F44" s="36">
        <f>H44+J44+N44+R44+V44+Z44+AD44+AH44+AL44+AP44+AT44+AX44</f>
        <v>103356.6</v>
      </c>
      <c r="G44" s="36">
        <v>0</v>
      </c>
      <c r="H44" s="36">
        <v>0</v>
      </c>
      <c r="I44" s="36">
        <v>0</v>
      </c>
      <c r="J44" s="36">
        <v>0</v>
      </c>
      <c r="K44" s="23">
        <f t="shared" ref="K44:L61" si="213">G44+I44</f>
        <v>0</v>
      </c>
      <c r="L44" s="23">
        <f t="shared" si="213"/>
        <v>0</v>
      </c>
      <c r="M44" s="36">
        <v>922</v>
      </c>
      <c r="N44" s="36">
        <v>922.3</v>
      </c>
      <c r="O44" s="23">
        <f t="shared" si="207"/>
        <v>922</v>
      </c>
      <c r="P44" s="23">
        <f t="shared" si="207"/>
        <v>922.3</v>
      </c>
      <c r="Q44" s="36">
        <v>1389</v>
      </c>
      <c r="R44" s="36">
        <v>1389</v>
      </c>
      <c r="S44" s="23">
        <f t="shared" si="208"/>
        <v>2311</v>
      </c>
      <c r="T44" s="23">
        <f t="shared" si="208"/>
        <v>2311.3000000000002</v>
      </c>
      <c r="U44" s="36">
        <v>3774</v>
      </c>
      <c r="V44" s="36">
        <v>9193.4</v>
      </c>
      <c r="W44" s="23">
        <f t="shared" si="209"/>
        <v>6085</v>
      </c>
      <c r="X44" s="23">
        <f t="shared" si="209"/>
        <v>11504.7</v>
      </c>
      <c r="Y44" s="36">
        <v>23901</v>
      </c>
      <c r="Z44" s="36">
        <v>36104.6</v>
      </c>
      <c r="AA44" s="23">
        <f t="shared" si="210"/>
        <v>29986</v>
      </c>
      <c r="AB44" s="23">
        <f t="shared" si="210"/>
        <v>47609.3</v>
      </c>
      <c r="AC44" s="36">
        <v>10565</v>
      </c>
      <c r="AD44" s="36">
        <v>10378.4</v>
      </c>
      <c r="AE44" s="23">
        <f t="shared" si="211"/>
        <v>40551</v>
      </c>
      <c r="AF44" s="23">
        <f t="shared" si="211"/>
        <v>57987.700000000004</v>
      </c>
      <c r="AG44" s="36">
        <f>15177-4111.3</f>
        <v>11065.7</v>
      </c>
      <c r="AH44" s="36">
        <v>8177.4</v>
      </c>
      <c r="AI44" s="23">
        <f t="shared" si="194"/>
        <v>51616.7</v>
      </c>
      <c r="AJ44" s="23">
        <f t="shared" si="194"/>
        <v>66165.100000000006</v>
      </c>
      <c r="AK44" s="36">
        <v>18594.400000000001</v>
      </c>
      <c r="AL44" s="36">
        <v>9251.2000000000007</v>
      </c>
      <c r="AM44" s="23">
        <f t="shared" si="195"/>
        <v>70211.100000000006</v>
      </c>
      <c r="AN44" s="23">
        <f t="shared" si="195"/>
        <v>75416.3</v>
      </c>
      <c r="AO44" s="36">
        <v>9757</v>
      </c>
      <c r="AP44" s="36">
        <v>3716</v>
      </c>
      <c r="AQ44" s="23">
        <f t="shared" si="196"/>
        <v>79968.100000000006</v>
      </c>
      <c r="AR44" s="23">
        <f t="shared" si="196"/>
        <v>79132.3</v>
      </c>
      <c r="AS44" s="36">
        <f>64+AT44</f>
        <v>6505.5</v>
      </c>
      <c r="AT44" s="36">
        <v>6441.5</v>
      </c>
      <c r="AU44" s="23">
        <f t="shared" si="197"/>
        <v>86473.600000000006</v>
      </c>
      <c r="AV44" s="23">
        <f t="shared" si="197"/>
        <v>85573.8</v>
      </c>
      <c r="AW44" s="36">
        <f>5935+AX44</f>
        <v>23717.8</v>
      </c>
      <c r="AX44" s="36">
        <v>17782.8</v>
      </c>
      <c r="AY44" s="36">
        <v>16809</v>
      </c>
      <c r="AZ44" s="36">
        <v>16809.099999999999</v>
      </c>
      <c r="BA44" s="56">
        <f t="shared" si="212"/>
        <v>-0.83736950569385726</v>
      </c>
      <c r="BB44" s="56">
        <f t="shared" si="212"/>
        <v>-0.83736790877408895</v>
      </c>
      <c r="BC44" s="36">
        <v>0</v>
      </c>
      <c r="BD44" s="36">
        <v>0</v>
      </c>
      <c r="BE44" s="36">
        <v>0</v>
      </c>
      <c r="BF44" s="36">
        <v>0</v>
      </c>
      <c r="BG44" s="23">
        <f t="shared" ref="BG44:BH61" si="214">BC44+BE44</f>
        <v>0</v>
      </c>
      <c r="BH44" s="23">
        <f t="shared" si="214"/>
        <v>0</v>
      </c>
      <c r="BI44" s="56">
        <f t="shared" si="184"/>
        <v>1</v>
      </c>
      <c r="BJ44" s="56">
        <f t="shared" si="184"/>
        <v>1</v>
      </c>
      <c r="BK44" s="36">
        <v>0</v>
      </c>
      <c r="BL44" s="36">
        <v>0</v>
      </c>
      <c r="BM44" s="23">
        <f t="shared" si="198"/>
        <v>0</v>
      </c>
      <c r="BN44" s="23">
        <f t="shared" si="198"/>
        <v>0</v>
      </c>
      <c r="BO44" s="56">
        <f t="shared" si="185"/>
        <v>-1</v>
      </c>
      <c r="BP44" s="56">
        <f t="shared" si="185"/>
        <v>-1</v>
      </c>
      <c r="BQ44" s="36"/>
      <c r="BR44" s="36"/>
      <c r="BS44" s="23">
        <f t="shared" si="199"/>
        <v>0</v>
      </c>
      <c r="BT44" s="23">
        <f t="shared" si="199"/>
        <v>0</v>
      </c>
      <c r="BU44" s="56">
        <f t="shared" si="186"/>
        <v>-1</v>
      </c>
      <c r="BV44" s="56">
        <f t="shared" si="186"/>
        <v>-1</v>
      </c>
      <c r="BW44" s="36"/>
      <c r="BX44" s="36"/>
      <c r="BY44" s="23">
        <f t="shared" si="200"/>
        <v>0</v>
      </c>
      <c r="BZ44" s="23">
        <f t="shared" si="200"/>
        <v>0</v>
      </c>
      <c r="CA44" s="56">
        <f t="shared" si="187"/>
        <v>-1</v>
      </c>
      <c r="CB44" s="56">
        <f t="shared" si="187"/>
        <v>-1</v>
      </c>
      <c r="CC44" s="36"/>
      <c r="CD44" s="36"/>
      <c r="CE44" s="23">
        <f t="shared" si="201"/>
        <v>0</v>
      </c>
      <c r="CF44" s="23">
        <f t="shared" si="201"/>
        <v>0</v>
      </c>
      <c r="CG44" s="56">
        <f t="shared" si="188"/>
        <v>-1</v>
      </c>
      <c r="CH44" s="56">
        <f t="shared" si="188"/>
        <v>-1</v>
      </c>
      <c r="CI44" s="36"/>
      <c r="CJ44" s="36"/>
      <c r="CK44" s="23">
        <f t="shared" si="202"/>
        <v>0</v>
      </c>
      <c r="CL44" s="23">
        <f t="shared" si="202"/>
        <v>0</v>
      </c>
      <c r="CM44" s="56">
        <f t="shared" si="189"/>
        <v>-1</v>
      </c>
      <c r="CN44" s="56">
        <f t="shared" si="189"/>
        <v>-1</v>
      </c>
      <c r="CO44" s="36"/>
      <c r="CP44" s="36"/>
      <c r="CQ44" s="23">
        <f t="shared" si="203"/>
        <v>0</v>
      </c>
      <c r="CR44" s="23">
        <f t="shared" si="203"/>
        <v>0</v>
      </c>
      <c r="CS44" s="56">
        <f t="shared" si="190"/>
        <v>-1</v>
      </c>
      <c r="CT44" s="56">
        <f t="shared" si="190"/>
        <v>-1</v>
      </c>
      <c r="CU44" s="36"/>
      <c r="CV44" s="36"/>
      <c r="CW44" s="23">
        <f t="shared" si="204"/>
        <v>0</v>
      </c>
      <c r="CX44" s="23">
        <f t="shared" si="204"/>
        <v>0</v>
      </c>
      <c r="CY44" s="56">
        <f t="shared" si="191"/>
        <v>-1</v>
      </c>
      <c r="CZ44" s="56">
        <f t="shared" si="191"/>
        <v>-1</v>
      </c>
      <c r="DA44" s="36"/>
      <c r="DB44" s="36"/>
      <c r="DC44" s="23">
        <f t="shared" si="205"/>
        <v>0</v>
      </c>
      <c r="DD44" s="23">
        <f t="shared" si="205"/>
        <v>0</v>
      </c>
      <c r="DE44" s="56">
        <f t="shared" si="192"/>
        <v>-1</v>
      </c>
      <c r="DF44" s="56">
        <f t="shared" si="192"/>
        <v>-1</v>
      </c>
      <c r="DG44" s="36"/>
      <c r="DH44" s="36"/>
      <c r="DI44" s="23">
        <f t="shared" si="206"/>
        <v>0</v>
      </c>
      <c r="DJ44" s="23">
        <f t="shared" si="206"/>
        <v>0</v>
      </c>
      <c r="DK44" s="56">
        <f t="shared" si="193"/>
        <v>-1</v>
      </c>
      <c r="DL44" s="56">
        <f t="shared" si="193"/>
        <v>-1</v>
      </c>
      <c r="DM44" s="36"/>
      <c r="DN44" s="36"/>
      <c r="DO44" s="36"/>
      <c r="DP44" s="36"/>
      <c r="DQ44" s="53">
        <v>16809</v>
      </c>
      <c r="DR44" s="36">
        <v>16809.099999999999</v>
      </c>
      <c r="DS44" s="56">
        <f>IF($AY$44=0,1,DQ44/$AY$44-1)</f>
        <v>0</v>
      </c>
      <c r="DT44" s="56">
        <f>IF($AZ$44=0,1,DR44/$AZ$44-1)</f>
        <v>0</v>
      </c>
      <c r="DU44" s="56">
        <f>IF($E$44=0,1,DQ44/$E$44-1)</f>
        <v>-0.83736950569385726</v>
      </c>
      <c r="DV44" s="56">
        <f>IF($E$44=0,1,DR44/$E$44-1)</f>
        <v>-0.83736853817351509</v>
      </c>
      <c r="DW44" s="52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29" t="s">
        <v>103</v>
      </c>
      <c r="B45" s="330"/>
      <c r="C45" s="36"/>
      <c r="D45" s="36"/>
      <c r="E45" s="36"/>
      <c r="F45" s="36"/>
      <c r="G45" s="36"/>
      <c r="H45" s="36"/>
      <c r="I45" s="36"/>
      <c r="J45" s="36"/>
      <c r="K45" s="23">
        <f t="shared" si="213"/>
        <v>0</v>
      </c>
      <c r="L45" s="23">
        <f t="shared" si="213"/>
        <v>0</v>
      </c>
      <c r="M45" s="36"/>
      <c r="N45" s="36"/>
      <c r="O45" s="23"/>
      <c r="P45" s="23"/>
      <c r="Q45" s="36"/>
      <c r="R45" s="36"/>
      <c r="S45" s="23"/>
      <c r="T45" s="23"/>
      <c r="U45" s="36"/>
      <c r="V45" s="36"/>
      <c r="W45" s="23"/>
      <c r="X45" s="23"/>
      <c r="Y45" s="36"/>
      <c r="Z45" s="36"/>
      <c r="AA45" s="23"/>
      <c r="AB45" s="23"/>
      <c r="AC45" s="36"/>
      <c r="AD45" s="36"/>
      <c r="AE45" s="23"/>
      <c r="AF45" s="23"/>
      <c r="AG45" s="36"/>
      <c r="AH45" s="36"/>
      <c r="AI45" s="23"/>
      <c r="AJ45" s="23"/>
      <c r="AK45" s="36"/>
      <c r="AL45" s="36"/>
      <c r="AM45" s="23"/>
      <c r="AN45" s="23"/>
      <c r="AO45" s="36"/>
      <c r="AP45" s="36"/>
      <c r="AQ45" s="23"/>
      <c r="AR45" s="23"/>
      <c r="AS45" s="36"/>
      <c r="AT45" s="36"/>
      <c r="AU45" s="23"/>
      <c r="AV45" s="23"/>
      <c r="AW45" s="36"/>
      <c r="AX45" s="36"/>
      <c r="AY45" s="36"/>
      <c r="AZ45" s="36"/>
      <c r="BA45" s="56">
        <f t="shared" si="212"/>
        <v>1</v>
      </c>
      <c r="BB45" s="56">
        <f t="shared" si="212"/>
        <v>1</v>
      </c>
      <c r="BC45" s="36"/>
      <c r="BD45" s="36"/>
      <c r="BE45" s="36"/>
      <c r="BF45" s="36"/>
      <c r="BG45" s="23">
        <f t="shared" si="214"/>
        <v>0</v>
      </c>
      <c r="BH45" s="23">
        <f t="shared" si="214"/>
        <v>0</v>
      </c>
      <c r="BI45" s="56">
        <f t="shared" si="184"/>
        <v>1</v>
      </c>
      <c r="BJ45" s="56">
        <f t="shared" si="184"/>
        <v>1</v>
      </c>
      <c r="BK45" s="36"/>
      <c r="BL45" s="36"/>
      <c r="BM45" s="23"/>
      <c r="BN45" s="23"/>
      <c r="BO45" s="56">
        <f t="shared" si="185"/>
        <v>1</v>
      </c>
      <c r="BP45" s="56">
        <f t="shared" si="185"/>
        <v>1</v>
      </c>
      <c r="BQ45" s="36"/>
      <c r="BR45" s="36"/>
      <c r="BS45" s="23"/>
      <c r="BT45" s="23"/>
      <c r="BU45" s="56">
        <f t="shared" si="186"/>
        <v>1</v>
      </c>
      <c r="BV45" s="56">
        <f t="shared" si="186"/>
        <v>1</v>
      </c>
      <c r="BW45" s="36"/>
      <c r="BX45" s="36"/>
      <c r="BY45" s="23"/>
      <c r="BZ45" s="23"/>
      <c r="CA45" s="56">
        <f t="shared" si="187"/>
        <v>1</v>
      </c>
      <c r="CB45" s="56">
        <f t="shared" si="187"/>
        <v>1</v>
      </c>
      <c r="CC45" s="36"/>
      <c r="CD45" s="36"/>
      <c r="CE45" s="23"/>
      <c r="CF45" s="23"/>
      <c r="CG45" s="56">
        <f t="shared" si="188"/>
        <v>1</v>
      </c>
      <c r="CH45" s="56">
        <f t="shared" si="188"/>
        <v>1</v>
      </c>
      <c r="CI45" s="36"/>
      <c r="CJ45" s="36"/>
      <c r="CK45" s="23"/>
      <c r="CL45" s="23"/>
      <c r="CM45" s="56">
        <f t="shared" si="189"/>
        <v>1</v>
      </c>
      <c r="CN45" s="56">
        <f t="shared" si="189"/>
        <v>1</v>
      </c>
      <c r="CO45" s="36"/>
      <c r="CP45" s="36"/>
      <c r="CQ45" s="23"/>
      <c r="CR45" s="23"/>
      <c r="CS45" s="56">
        <f t="shared" si="190"/>
        <v>1</v>
      </c>
      <c r="CT45" s="56">
        <f t="shared" si="190"/>
        <v>1</v>
      </c>
      <c r="CU45" s="36"/>
      <c r="CV45" s="36"/>
      <c r="CW45" s="23"/>
      <c r="CX45" s="23"/>
      <c r="CY45" s="56">
        <f t="shared" si="191"/>
        <v>1</v>
      </c>
      <c r="CZ45" s="56">
        <f t="shared" si="191"/>
        <v>1</v>
      </c>
      <c r="DA45" s="36"/>
      <c r="DB45" s="36"/>
      <c r="DC45" s="23"/>
      <c r="DD45" s="23"/>
      <c r="DE45" s="56">
        <f t="shared" si="192"/>
        <v>1</v>
      </c>
      <c r="DF45" s="56">
        <f t="shared" si="192"/>
        <v>1</v>
      </c>
      <c r="DG45" s="36"/>
      <c r="DH45" s="36"/>
      <c r="DI45" s="23"/>
      <c r="DJ45" s="23"/>
      <c r="DK45" s="56">
        <f t="shared" si="193"/>
        <v>1</v>
      </c>
      <c r="DL45" s="56">
        <f t="shared" si="193"/>
        <v>1</v>
      </c>
      <c r="DM45" s="36"/>
      <c r="DN45" s="36"/>
      <c r="DO45" s="36"/>
      <c r="DP45" s="36"/>
      <c r="DQ45" s="36"/>
      <c r="DR45" s="36"/>
      <c r="DS45" s="56">
        <f>IF($AY$45=0,1,DQ45/$AY$45-1)</f>
        <v>1</v>
      </c>
      <c r="DT45" s="56">
        <f>IF($AZ$45=0,1,DR45/$AZ$45-1)</f>
        <v>1</v>
      </c>
      <c r="DU45" s="56">
        <f>IF($E$45=0,1,DQ45/$E$45-1)</f>
        <v>1</v>
      </c>
      <c r="DV45" s="56">
        <f>IF($E$45=0,1,DR45/$E$45-1)</f>
        <v>1</v>
      </c>
      <c r="DW45" s="52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70" customFormat="1" ht="18" customHeight="1">
      <c r="A46" s="329" t="s">
        <v>106</v>
      </c>
      <c r="B46" s="330"/>
      <c r="C46" s="36">
        <f t="shared" ref="C46:J46" si="215">C47+C48+C54+C55+C60+C56+C57+C58+C59+C61</f>
        <v>51185.4</v>
      </c>
      <c r="D46" s="36">
        <f t="shared" si="215"/>
        <v>39672.5</v>
      </c>
      <c r="E46" s="36">
        <f t="shared" si="215"/>
        <v>63127</v>
      </c>
      <c r="F46" s="36">
        <f t="shared" si="215"/>
        <v>45674.7</v>
      </c>
      <c r="G46" s="36">
        <f t="shared" si="215"/>
        <v>3313.3</v>
      </c>
      <c r="H46" s="36">
        <f t="shared" si="215"/>
        <v>2002.2000000000003</v>
      </c>
      <c r="I46" s="36">
        <f t="shared" si="215"/>
        <v>5368.7999999999993</v>
      </c>
      <c r="J46" s="36">
        <f t="shared" si="215"/>
        <v>4338.3999999999996</v>
      </c>
      <c r="K46" s="23">
        <f t="shared" si="213"/>
        <v>8682.0999999999985</v>
      </c>
      <c r="L46" s="23">
        <f t="shared" si="213"/>
        <v>6340.6</v>
      </c>
      <c r="M46" s="36">
        <f t="shared" ref="M46:AZ46" si="216">M47+M48+M54+M55+M60+M56+M57+M58+M59+M61</f>
        <v>4065.2</v>
      </c>
      <c r="N46" s="36">
        <f t="shared" si="216"/>
        <v>3311.7999999999997</v>
      </c>
      <c r="O46" s="36">
        <f t="shared" si="216"/>
        <v>12747.3</v>
      </c>
      <c r="P46" s="36">
        <f t="shared" si="216"/>
        <v>9652.4000000000015</v>
      </c>
      <c r="Q46" s="36">
        <f t="shared" si="216"/>
        <v>5068</v>
      </c>
      <c r="R46" s="36">
        <f t="shared" si="216"/>
        <v>3704.1</v>
      </c>
      <c r="S46" s="36">
        <f t="shared" si="216"/>
        <v>17815.3</v>
      </c>
      <c r="T46" s="36">
        <f t="shared" si="216"/>
        <v>13356.5</v>
      </c>
      <c r="U46" s="36">
        <f t="shared" si="216"/>
        <v>4220.1000000000004</v>
      </c>
      <c r="V46" s="36">
        <f t="shared" si="216"/>
        <v>3803.5000000000005</v>
      </c>
      <c r="W46" s="36">
        <f t="shared" si="216"/>
        <v>22035.4</v>
      </c>
      <c r="X46" s="36">
        <f t="shared" si="216"/>
        <v>17160</v>
      </c>
      <c r="Y46" s="36">
        <f t="shared" si="216"/>
        <v>8062.7</v>
      </c>
      <c r="Z46" s="36">
        <f t="shared" si="216"/>
        <v>4113.8</v>
      </c>
      <c r="AA46" s="36">
        <f t="shared" si="216"/>
        <v>30098.100000000006</v>
      </c>
      <c r="AB46" s="36">
        <f t="shared" si="216"/>
        <v>21273.8</v>
      </c>
      <c r="AC46" s="36">
        <f t="shared" si="216"/>
        <v>3192.7000000000003</v>
      </c>
      <c r="AD46" s="36">
        <f t="shared" si="216"/>
        <v>3092.2</v>
      </c>
      <c r="AE46" s="36">
        <f t="shared" si="216"/>
        <v>33290.800000000003</v>
      </c>
      <c r="AF46" s="36">
        <f t="shared" si="216"/>
        <v>24366.000000000004</v>
      </c>
      <c r="AG46" s="36">
        <f t="shared" si="216"/>
        <v>4074.5</v>
      </c>
      <c r="AH46" s="36">
        <f t="shared" si="216"/>
        <v>2970.8</v>
      </c>
      <c r="AI46" s="36">
        <f t="shared" si="216"/>
        <v>37365.300000000003</v>
      </c>
      <c r="AJ46" s="36">
        <f t="shared" si="216"/>
        <v>27336.800000000003</v>
      </c>
      <c r="AK46" s="36">
        <f t="shared" si="216"/>
        <v>6113.4</v>
      </c>
      <c r="AL46" s="36">
        <f t="shared" si="216"/>
        <v>4764.1000000000004</v>
      </c>
      <c r="AM46" s="36">
        <f t="shared" si="216"/>
        <v>43478.700000000004</v>
      </c>
      <c r="AN46" s="36">
        <f t="shared" si="216"/>
        <v>32100.9</v>
      </c>
      <c r="AO46" s="36">
        <f t="shared" si="216"/>
        <v>4821.8</v>
      </c>
      <c r="AP46" s="36">
        <f t="shared" si="216"/>
        <v>3508.9</v>
      </c>
      <c r="AQ46" s="36">
        <f t="shared" si="216"/>
        <v>48300.500000000007</v>
      </c>
      <c r="AR46" s="36">
        <f t="shared" si="216"/>
        <v>35609.800000000003</v>
      </c>
      <c r="AS46" s="36">
        <f t="shared" si="216"/>
        <v>7581.4</v>
      </c>
      <c r="AT46" s="36">
        <f t="shared" si="216"/>
        <v>4391.3999999999996</v>
      </c>
      <c r="AU46" s="36">
        <f t="shared" si="216"/>
        <v>55881.9</v>
      </c>
      <c r="AV46" s="36">
        <f t="shared" si="216"/>
        <v>40001.200000000004</v>
      </c>
      <c r="AW46" s="36">
        <f t="shared" si="216"/>
        <v>12675.3</v>
      </c>
      <c r="AX46" s="36">
        <f t="shared" si="216"/>
        <v>5673.4999999999991</v>
      </c>
      <c r="AY46" s="36">
        <f t="shared" si="216"/>
        <v>0</v>
      </c>
      <c r="AZ46" s="36">
        <f t="shared" si="216"/>
        <v>45885.000000000007</v>
      </c>
      <c r="BA46" s="56">
        <f t="shared" si="212"/>
        <v>-1</v>
      </c>
      <c r="BB46" s="56">
        <f t="shared" si="212"/>
        <v>4.6042995356294636E-3</v>
      </c>
      <c r="BC46" s="36">
        <f t="shared" ref="BC46:BH46" si="217">BC47+BC48+BC54+BC55+BC60+BC56+BC57+BC58+BC59+BC61</f>
        <v>0</v>
      </c>
      <c r="BD46" s="36">
        <f t="shared" si="217"/>
        <v>781.5</v>
      </c>
      <c r="BE46" s="36">
        <f t="shared" si="217"/>
        <v>0</v>
      </c>
      <c r="BF46" s="36">
        <f t="shared" si="217"/>
        <v>4005.1</v>
      </c>
      <c r="BG46" s="36">
        <f t="shared" si="217"/>
        <v>0</v>
      </c>
      <c r="BH46" s="36">
        <f t="shared" si="217"/>
        <v>4786.5999999999995</v>
      </c>
      <c r="BI46" s="56">
        <f t="shared" si="184"/>
        <v>-1</v>
      </c>
      <c r="BJ46" s="56">
        <f t="shared" si="184"/>
        <v>-0.24508721572090986</v>
      </c>
      <c r="BK46" s="36">
        <f>BK47+BK48+BK54+BK55+BK60+BK56+BK57+BK58+BK59+BK61</f>
        <v>0</v>
      </c>
      <c r="BL46" s="36">
        <f>BL47+BL48+BL54+BL55+BL60+BL56+BL57+BL58+BL59+BL61</f>
        <v>1881.9</v>
      </c>
      <c r="BM46" s="36">
        <f>BM47+BM48+BM54+BM55+BM60+BM56+BM57+BM58+BM59+BM61</f>
        <v>0</v>
      </c>
      <c r="BN46" s="36">
        <f>BN47+BN48+BN54+BN55+BN60+BN56+BN57+BN58+BN59+BN61</f>
        <v>6668.5</v>
      </c>
      <c r="BO46" s="56">
        <f t="shared" si="185"/>
        <v>-1</v>
      </c>
      <c r="BP46" s="56">
        <f t="shared" si="185"/>
        <v>-0.30913555177986829</v>
      </c>
      <c r="BQ46" s="36">
        <f>BQ47+BQ48+BQ54+BQ55+BQ60+BQ56+BQ57+BQ58+BQ59+BQ61</f>
        <v>0</v>
      </c>
      <c r="BR46" s="36">
        <f>BR47+BR48+BR54+BR55+BR60+BR56+BR57+BR58+BR59+BR61</f>
        <v>0</v>
      </c>
      <c r="BS46" s="36">
        <f>BS47+BS48+BS54+BS55+BS60+BS56+BS57+BS58+BS59+BS61</f>
        <v>0</v>
      </c>
      <c r="BT46" s="36">
        <f>BT47+BT48+BT54+BT55+BT60+BT56+BT57+BT58+BT59+BT61</f>
        <v>6668.5</v>
      </c>
      <c r="BU46" s="56">
        <f t="shared" si="186"/>
        <v>-1</v>
      </c>
      <c r="BV46" s="56">
        <f t="shared" si="186"/>
        <v>-0.5007299816568711</v>
      </c>
      <c r="BW46" s="36">
        <f>BW47+BW48+BW54+BW55+BW60+BW56+BW57+BW58+BW59+BW61</f>
        <v>0</v>
      </c>
      <c r="BX46" s="36">
        <f>BX47+BX48+BX54+BX55+BX60+BX56+BX57+BX58+BX59+BX61</f>
        <v>0</v>
      </c>
      <c r="BY46" s="36">
        <f>BY47+BY48+BY54+BY55+BY60+BY56+BY57+BY58+BY59+BY61</f>
        <v>0</v>
      </c>
      <c r="BZ46" s="36">
        <f>BZ47+BZ48+BZ54+BZ55+BZ60+BZ56+BZ57+BZ58+BZ59+BZ61</f>
        <v>6668.5</v>
      </c>
      <c r="CA46" s="56">
        <f t="shared" si="187"/>
        <v>-1</v>
      </c>
      <c r="CB46" s="56">
        <f t="shared" si="187"/>
        <v>-0.61139277389277391</v>
      </c>
      <c r="CC46" s="36">
        <f>CC47+CC48+CC54+CC55+CC60+CC56+CC57+CC58+CC59+CC61</f>
        <v>0</v>
      </c>
      <c r="CD46" s="36">
        <f>CD47+CD48+CD54+CD55+CD60+CD56+CD57+CD58+CD59+CD61</f>
        <v>0</v>
      </c>
      <c r="CE46" s="36">
        <f>CE47+CE48+CE54+CE55+CE60+CE56+CE57+CE58+CE59+CE61</f>
        <v>0</v>
      </c>
      <c r="CF46" s="36">
        <f>CF47+CF48+CF54+CF55+CF60+CF56+CF57+CF58+CF59+CF61</f>
        <v>6668.5</v>
      </c>
      <c r="CG46" s="56">
        <f t="shared" si="188"/>
        <v>-1</v>
      </c>
      <c r="CH46" s="56">
        <f t="shared" si="188"/>
        <v>-0.68653931126550027</v>
      </c>
      <c r="CI46" s="36">
        <f>CI47+CI48+CI54+CI55+CI60+CI56+CI57+CI58+CI59+CI61</f>
        <v>0</v>
      </c>
      <c r="CJ46" s="36">
        <f>CJ47+CJ48+CJ54+CJ55+CJ60+CJ56+CJ57+CJ58+CJ59+CJ61</f>
        <v>0</v>
      </c>
      <c r="CK46" s="36">
        <f>CK47+CK48+CK54+CK55+CK60+CK56+CK57+CK58+CK59+CK61</f>
        <v>0</v>
      </c>
      <c r="CL46" s="36">
        <f>CL47+CL48+CL54+CL55+CL60+CL56+CL57+CL58+CL59+CL61</f>
        <v>6668.5</v>
      </c>
      <c r="CM46" s="56">
        <f t="shared" si="189"/>
        <v>-1</v>
      </c>
      <c r="CN46" s="56">
        <f t="shared" si="189"/>
        <v>-0.72631946154477556</v>
      </c>
      <c r="CO46" s="36">
        <f>CO47+CO48+CO54+CO55+CO60+CO56+CO57+CO58+CO59+CO61</f>
        <v>0</v>
      </c>
      <c r="CP46" s="36">
        <f>CP47+CP48+CP54+CP55+CP60+CP56+CP57+CP58+CP59+CP61</f>
        <v>0</v>
      </c>
      <c r="CQ46" s="36">
        <f>CQ47+CQ48+CQ54+CQ55+CQ60+CQ56+CQ57+CQ58+CQ59+CQ61</f>
        <v>0</v>
      </c>
      <c r="CR46" s="36">
        <f>CR47+CR48+CR54+CR55+CR60+CR56+CR57+CR58+CR59+CR61</f>
        <v>6668.5</v>
      </c>
      <c r="CS46" s="56">
        <f t="shared" si="190"/>
        <v>-1</v>
      </c>
      <c r="CT46" s="56">
        <f t="shared" si="190"/>
        <v>-0.75606142635568174</v>
      </c>
      <c r="CU46" s="36">
        <f>CU47+CU48+CU54+CU55+CU60+CU56+CU57+CU58+CU59+CU61</f>
        <v>0</v>
      </c>
      <c r="CV46" s="36">
        <f>CV47+CV48+CV54+CV55+CV60+CV56+CV57+CV58+CV59+CV61</f>
        <v>0</v>
      </c>
      <c r="CW46" s="36">
        <f>CW47+CW48+CW54+CW55+CW60+CW56+CW57+CW58+CW59+CW61</f>
        <v>0</v>
      </c>
      <c r="CX46" s="36">
        <f>CX47+CX48+CX54+CX55+CX60+CX56+CX57+CX58+CX59+CX61</f>
        <v>6668.5</v>
      </c>
      <c r="CY46" s="56">
        <f t="shared" si="191"/>
        <v>-1</v>
      </c>
      <c r="CZ46" s="56">
        <f t="shared" si="191"/>
        <v>-0.79226439134105275</v>
      </c>
      <c r="DA46" s="36">
        <f>DA47+DA48+DA54+DA55+DA60+DA56+DA57+DA58+DA59+DA61</f>
        <v>0</v>
      </c>
      <c r="DB46" s="36">
        <f>DB47+DB48+DB54+DB55+DB60+DB56+DB57+DB58+DB59+DB61</f>
        <v>0</v>
      </c>
      <c r="DC46" s="36">
        <f>DC47+DC48+DC54+DC55+DC60+DC56+DC57+DC58+DC59+DC61</f>
        <v>0</v>
      </c>
      <c r="DD46" s="36">
        <f>DD47+DD48+DD54+DD55+DD60+DD56+DD57+DD58+DD59+DD61</f>
        <v>6668.5</v>
      </c>
      <c r="DE46" s="56">
        <f t="shared" si="192"/>
        <v>-1</v>
      </c>
      <c r="DF46" s="56">
        <f t="shared" si="192"/>
        <v>-0.81273413498531299</v>
      </c>
      <c r="DG46" s="36">
        <f>DG47+DG48+DG54+DG55+DG60+DG56+DG57+DG58+DG59+DG61</f>
        <v>0</v>
      </c>
      <c r="DH46" s="36">
        <f>DH47+DH48+DH54+DH55+DH60+DH56+DH57+DH58+DH59+DH61</f>
        <v>0</v>
      </c>
      <c r="DI46" s="36">
        <f>DI47+DI48+DI54+DI55+DI60+DI56+DI57+DI58+DI59+DI61</f>
        <v>0</v>
      </c>
      <c r="DJ46" s="36">
        <f>DJ47+DJ48+DJ54+DJ55+DJ60+DJ56+DJ57+DJ58+DJ59+DJ61</f>
        <v>6668.5</v>
      </c>
      <c r="DK46" s="56">
        <f t="shared" si="193"/>
        <v>-1</v>
      </c>
      <c r="DL46" s="56">
        <f t="shared" si="193"/>
        <v>-0.83329250122496323</v>
      </c>
      <c r="DM46" s="36">
        <f>DM47+DM48+DM54+DM55+DM60+DM56+DM57+DM58+DM59+DM61</f>
        <v>0</v>
      </c>
      <c r="DN46" s="36">
        <f>DN47+DN48+DN54+DN55+DN60+DN56+DN57+DN58+DN59+DN61</f>
        <v>0</v>
      </c>
      <c r="DO46" s="36">
        <f t="shared" ref="DO46:DR46" si="218">DO47+DO48+DO54+DO55+DO60+DO56+DO57+DO58+DO59+DO61</f>
        <v>0</v>
      </c>
      <c r="DP46" s="36">
        <f t="shared" si="218"/>
        <v>0</v>
      </c>
      <c r="DQ46" s="36">
        <f t="shared" si="218"/>
        <v>0</v>
      </c>
      <c r="DR46" s="36">
        <f t="shared" si="218"/>
        <v>47530.000000000007</v>
      </c>
      <c r="DS46" s="56">
        <f>IF($AY$46=0,1,DQ46/$AY$46-1)</f>
        <v>1</v>
      </c>
      <c r="DT46" s="56">
        <f>IF($AZ$46=0,1,DR46/$AZ$46-1)</f>
        <v>3.585049580472921E-2</v>
      </c>
      <c r="DU46" s="56">
        <f>IF($E$46=0,1,DQ46/$E$46-1)</f>
        <v>-1</v>
      </c>
      <c r="DV46" s="56">
        <f>IF($E$46=0,1,DR46/$E$46-1)</f>
        <v>-0.24707336005195868</v>
      </c>
      <c r="DW46" s="52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</row>
    <row r="47" spans="1:268" s="64" customFormat="1" ht="21.75" customHeight="1">
      <c r="A47" s="230" t="s">
        <v>132</v>
      </c>
      <c r="B47" s="231"/>
      <c r="C47" s="29"/>
      <c r="D47" s="31"/>
      <c r="E47" s="26"/>
      <c r="F47" s="31"/>
      <c r="G47" s="31"/>
      <c r="H47" s="31"/>
      <c r="I47" s="31"/>
      <c r="J47" s="31"/>
      <c r="K47" s="26">
        <f t="shared" si="213"/>
        <v>0</v>
      </c>
      <c r="L47" s="26">
        <f t="shared" si="213"/>
        <v>0</v>
      </c>
      <c r="M47" s="31"/>
      <c r="N47" s="31"/>
      <c r="O47" s="26"/>
      <c r="P47" s="26"/>
      <c r="Q47" s="31"/>
      <c r="R47" s="31"/>
      <c r="S47" s="26"/>
      <c r="T47" s="26"/>
      <c r="U47" s="31"/>
      <c r="V47" s="31"/>
      <c r="W47" s="26"/>
      <c r="X47" s="26"/>
      <c r="Y47" s="31"/>
      <c r="Z47" s="31"/>
      <c r="AA47" s="26"/>
      <c r="AB47" s="26"/>
      <c r="AC47" s="31"/>
      <c r="AD47" s="31"/>
      <c r="AE47" s="26"/>
      <c r="AF47" s="26"/>
      <c r="AG47" s="31"/>
      <c r="AH47" s="31"/>
      <c r="AI47" s="26"/>
      <c r="AJ47" s="26"/>
      <c r="AK47" s="31"/>
      <c r="AL47" s="31"/>
      <c r="AM47" s="26"/>
      <c r="AN47" s="26"/>
      <c r="AO47" s="31"/>
      <c r="AP47" s="31"/>
      <c r="AQ47" s="26"/>
      <c r="AR47" s="26"/>
      <c r="AS47" s="31"/>
      <c r="AT47" s="31"/>
      <c r="AU47" s="26"/>
      <c r="AV47" s="26"/>
      <c r="AW47" s="31"/>
      <c r="AX47" s="31"/>
      <c r="AY47" s="31"/>
      <c r="AZ47" s="31"/>
      <c r="BA47" s="55">
        <f t="shared" si="212"/>
        <v>1</v>
      </c>
      <c r="BB47" s="55">
        <f t="shared" si="212"/>
        <v>1</v>
      </c>
      <c r="BC47" s="31"/>
      <c r="BD47" s="31"/>
      <c r="BE47" s="31"/>
      <c r="BF47" s="31"/>
      <c r="BG47" s="26">
        <f t="shared" si="214"/>
        <v>0</v>
      </c>
      <c r="BH47" s="26">
        <f t="shared" si="214"/>
        <v>0</v>
      </c>
      <c r="BI47" s="55">
        <f t="shared" si="184"/>
        <v>1</v>
      </c>
      <c r="BJ47" s="55">
        <f t="shared" si="184"/>
        <v>1</v>
      </c>
      <c r="BK47" s="31"/>
      <c r="BL47" s="31"/>
      <c r="BM47" s="26"/>
      <c r="BN47" s="26"/>
      <c r="BO47" s="55">
        <f t="shared" si="185"/>
        <v>1</v>
      </c>
      <c r="BP47" s="55">
        <f t="shared" si="185"/>
        <v>1</v>
      </c>
      <c r="BQ47" s="31"/>
      <c r="BR47" s="31"/>
      <c r="BS47" s="26"/>
      <c r="BT47" s="26"/>
      <c r="BU47" s="55">
        <f t="shared" si="186"/>
        <v>1</v>
      </c>
      <c r="BV47" s="55">
        <f t="shared" si="186"/>
        <v>1</v>
      </c>
      <c r="BW47" s="31"/>
      <c r="BX47" s="31"/>
      <c r="BY47" s="26"/>
      <c r="BZ47" s="26"/>
      <c r="CA47" s="55">
        <f t="shared" si="187"/>
        <v>1</v>
      </c>
      <c r="CB47" s="55">
        <f t="shared" si="187"/>
        <v>1</v>
      </c>
      <c r="CC47" s="31"/>
      <c r="CD47" s="31"/>
      <c r="CE47" s="26"/>
      <c r="CF47" s="26"/>
      <c r="CG47" s="55">
        <f t="shared" si="188"/>
        <v>1</v>
      </c>
      <c r="CH47" s="55">
        <f t="shared" si="188"/>
        <v>1</v>
      </c>
      <c r="CI47" s="31"/>
      <c r="CJ47" s="31"/>
      <c r="CK47" s="26"/>
      <c r="CL47" s="26"/>
      <c r="CM47" s="55">
        <f t="shared" si="189"/>
        <v>1</v>
      </c>
      <c r="CN47" s="55">
        <f t="shared" si="189"/>
        <v>1</v>
      </c>
      <c r="CO47" s="31"/>
      <c r="CP47" s="31"/>
      <c r="CQ47" s="26"/>
      <c r="CR47" s="26"/>
      <c r="CS47" s="55">
        <f t="shared" si="190"/>
        <v>1</v>
      </c>
      <c r="CT47" s="55">
        <f t="shared" si="190"/>
        <v>1</v>
      </c>
      <c r="CU47" s="31"/>
      <c r="CV47" s="31"/>
      <c r="CW47" s="26"/>
      <c r="CX47" s="26"/>
      <c r="CY47" s="55">
        <f t="shared" si="191"/>
        <v>1</v>
      </c>
      <c r="CZ47" s="55">
        <f t="shared" si="191"/>
        <v>1</v>
      </c>
      <c r="DA47" s="31"/>
      <c r="DB47" s="31"/>
      <c r="DC47" s="26"/>
      <c r="DD47" s="26"/>
      <c r="DE47" s="55">
        <f t="shared" si="192"/>
        <v>1</v>
      </c>
      <c r="DF47" s="55">
        <f t="shared" si="192"/>
        <v>1</v>
      </c>
      <c r="DG47" s="31"/>
      <c r="DH47" s="31"/>
      <c r="DI47" s="26"/>
      <c r="DJ47" s="26"/>
      <c r="DK47" s="55">
        <f t="shared" si="193"/>
        <v>1</v>
      </c>
      <c r="DL47" s="55">
        <f t="shared" si="193"/>
        <v>1</v>
      </c>
      <c r="DM47" s="31"/>
      <c r="DN47" s="31"/>
      <c r="DO47" s="31"/>
      <c r="DP47" s="31"/>
      <c r="DQ47" s="31"/>
      <c r="DR47" s="31"/>
      <c r="DS47" s="55">
        <f>IF($AY$47=0,1,DQ47/$AY$47-1)</f>
        <v>1</v>
      </c>
      <c r="DT47" s="55">
        <f>IF($AZ$47=0,1,DR47/$AZ$47-1)</f>
        <v>1</v>
      </c>
      <c r="DU47" s="55">
        <f>IF($E$47=0,1,DQ47/$E$47-1)</f>
        <v>1</v>
      </c>
      <c r="DV47" s="55">
        <f>IF($E$47=0,1,DR47/$E$47-1)</f>
        <v>1</v>
      </c>
      <c r="DW47" s="25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6" customFormat="1" ht="18" customHeight="1">
      <c r="A48" s="230" t="s">
        <v>108</v>
      </c>
      <c r="B48" s="231"/>
      <c r="C48" s="31">
        <f>C49+C50+C51</f>
        <v>0</v>
      </c>
      <c r="D48" s="31">
        <f t="shared" ref="D48:AZ48" si="219">D49+D50+D51</f>
        <v>0</v>
      </c>
      <c r="E48" s="31">
        <f t="shared" si="219"/>
        <v>0</v>
      </c>
      <c r="F48" s="31">
        <f t="shared" si="219"/>
        <v>0</v>
      </c>
      <c r="G48" s="31">
        <f t="shared" si="219"/>
        <v>0</v>
      </c>
      <c r="H48" s="31">
        <f t="shared" si="219"/>
        <v>0</v>
      </c>
      <c r="I48" s="31">
        <f t="shared" si="219"/>
        <v>0</v>
      </c>
      <c r="J48" s="31">
        <f t="shared" si="219"/>
        <v>0</v>
      </c>
      <c r="K48" s="26">
        <f t="shared" si="213"/>
        <v>0</v>
      </c>
      <c r="L48" s="26">
        <f t="shared" si="213"/>
        <v>0</v>
      </c>
      <c r="M48" s="31">
        <f t="shared" si="219"/>
        <v>0</v>
      </c>
      <c r="N48" s="31">
        <f t="shared" si="219"/>
        <v>0</v>
      </c>
      <c r="O48" s="31">
        <f t="shared" si="219"/>
        <v>0</v>
      </c>
      <c r="P48" s="31">
        <f t="shared" si="219"/>
        <v>0</v>
      </c>
      <c r="Q48" s="31">
        <f t="shared" si="219"/>
        <v>0</v>
      </c>
      <c r="R48" s="31">
        <f t="shared" si="219"/>
        <v>0</v>
      </c>
      <c r="S48" s="31">
        <f t="shared" si="219"/>
        <v>0</v>
      </c>
      <c r="T48" s="31">
        <f t="shared" si="219"/>
        <v>0</v>
      </c>
      <c r="U48" s="31">
        <f t="shared" si="219"/>
        <v>0</v>
      </c>
      <c r="V48" s="31">
        <f t="shared" si="219"/>
        <v>0</v>
      </c>
      <c r="W48" s="31">
        <f t="shared" si="219"/>
        <v>0</v>
      </c>
      <c r="X48" s="31">
        <f t="shared" si="219"/>
        <v>0</v>
      </c>
      <c r="Y48" s="31">
        <f t="shared" si="219"/>
        <v>0</v>
      </c>
      <c r="Z48" s="31">
        <f t="shared" si="219"/>
        <v>0</v>
      </c>
      <c r="AA48" s="31">
        <f t="shared" si="219"/>
        <v>0</v>
      </c>
      <c r="AB48" s="31">
        <f t="shared" si="219"/>
        <v>0</v>
      </c>
      <c r="AC48" s="31">
        <f t="shared" si="219"/>
        <v>0</v>
      </c>
      <c r="AD48" s="31">
        <f t="shared" si="219"/>
        <v>0</v>
      </c>
      <c r="AE48" s="31">
        <f t="shared" si="219"/>
        <v>0</v>
      </c>
      <c r="AF48" s="31">
        <f t="shared" si="219"/>
        <v>0</v>
      </c>
      <c r="AG48" s="31">
        <f t="shared" si="219"/>
        <v>0</v>
      </c>
      <c r="AH48" s="31">
        <f t="shared" si="219"/>
        <v>0</v>
      </c>
      <c r="AI48" s="31">
        <f t="shared" si="219"/>
        <v>0</v>
      </c>
      <c r="AJ48" s="31">
        <f t="shared" si="219"/>
        <v>0</v>
      </c>
      <c r="AK48" s="31">
        <f t="shared" si="219"/>
        <v>0</v>
      </c>
      <c r="AL48" s="31">
        <f t="shared" si="219"/>
        <v>0</v>
      </c>
      <c r="AM48" s="31">
        <f t="shared" si="219"/>
        <v>0</v>
      </c>
      <c r="AN48" s="31">
        <f t="shared" si="219"/>
        <v>0</v>
      </c>
      <c r="AO48" s="31">
        <f t="shared" si="219"/>
        <v>0</v>
      </c>
      <c r="AP48" s="31">
        <f t="shared" si="219"/>
        <v>0</v>
      </c>
      <c r="AQ48" s="31">
        <f t="shared" si="219"/>
        <v>0</v>
      </c>
      <c r="AR48" s="31">
        <f t="shared" si="219"/>
        <v>0</v>
      </c>
      <c r="AS48" s="31">
        <f t="shared" si="219"/>
        <v>0</v>
      </c>
      <c r="AT48" s="31">
        <f t="shared" si="219"/>
        <v>0</v>
      </c>
      <c r="AU48" s="31">
        <f t="shared" si="219"/>
        <v>0</v>
      </c>
      <c r="AV48" s="31">
        <f t="shared" si="219"/>
        <v>0</v>
      </c>
      <c r="AW48" s="31">
        <f t="shared" si="219"/>
        <v>0</v>
      </c>
      <c r="AX48" s="31">
        <f t="shared" si="219"/>
        <v>0</v>
      </c>
      <c r="AY48" s="31">
        <f t="shared" si="219"/>
        <v>0</v>
      </c>
      <c r="AZ48" s="31">
        <f t="shared" si="219"/>
        <v>0</v>
      </c>
      <c r="BA48" s="55">
        <f t="shared" si="212"/>
        <v>1</v>
      </c>
      <c r="BB48" s="55">
        <f t="shared" si="212"/>
        <v>1</v>
      </c>
      <c r="BC48" s="31"/>
      <c r="BD48" s="31"/>
      <c r="BE48" s="31"/>
      <c r="BF48" s="31"/>
      <c r="BG48" s="26">
        <f t="shared" si="214"/>
        <v>0</v>
      </c>
      <c r="BH48" s="26">
        <f t="shared" si="214"/>
        <v>0</v>
      </c>
      <c r="BI48" s="55">
        <f t="shared" si="184"/>
        <v>1</v>
      </c>
      <c r="BJ48" s="55">
        <f t="shared" si="184"/>
        <v>1</v>
      </c>
      <c r="BK48" s="31"/>
      <c r="BL48" s="31"/>
      <c r="BM48" s="31">
        <f t="shared" ref="BM48:DJ48" si="220">BM49+BM50+BM51</f>
        <v>0</v>
      </c>
      <c r="BN48" s="31">
        <f t="shared" si="220"/>
        <v>0</v>
      </c>
      <c r="BO48" s="55">
        <f t="shared" si="185"/>
        <v>1</v>
      </c>
      <c r="BP48" s="55">
        <f t="shared" si="185"/>
        <v>1</v>
      </c>
      <c r="BQ48" s="31">
        <f t="shared" si="220"/>
        <v>0</v>
      </c>
      <c r="BR48" s="31">
        <f t="shared" si="220"/>
        <v>0</v>
      </c>
      <c r="BS48" s="31">
        <f t="shared" si="220"/>
        <v>0</v>
      </c>
      <c r="BT48" s="31">
        <f t="shared" si="220"/>
        <v>0</v>
      </c>
      <c r="BU48" s="55">
        <f t="shared" si="186"/>
        <v>1</v>
      </c>
      <c r="BV48" s="55">
        <f t="shared" si="186"/>
        <v>1</v>
      </c>
      <c r="BW48" s="31">
        <f t="shared" ref="BW48:BX48" si="221">BW49+BW50+BW51</f>
        <v>0</v>
      </c>
      <c r="BX48" s="31">
        <f t="shared" si="221"/>
        <v>0</v>
      </c>
      <c r="BY48" s="31">
        <f t="shared" si="220"/>
        <v>0</v>
      </c>
      <c r="BZ48" s="31">
        <f t="shared" si="220"/>
        <v>0</v>
      </c>
      <c r="CA48" s="55">
        <f t="shared" si="187"/>
        <v>1</v>
      </c>
      <c r="CB48" s="55">
        <f t="shared" si="187"/>
        <v>1</v>
      </c>
      <c r="CC48" s="31">
        <f t="shared" ref="CC48:CD48" si="222">CC49+CC50+CC51</f>
        <v>0</v>
      </c>
      <c r="CD48" s="31">
        <f t="shared" si="222"/>
        <v>0</v>
      </c>
      <c r="CE48" s="31">
        <f t="shared" si="220"/>
        <v>0</v>
      </c>
      <c r="CF48" s="31">
        <f t="shared" si="220"/>
        <v>0</v>
      </c>
      <c r="CG48" s="55">
        <f t="shared" si="188"/>
        <v>1</v>
      </c>
      <c r="CH48" s="55">
        <f t="shared" si="188"/>
        <v>1</v>
      </c>
      <c r="CI48" s="31">
        <f t="shared" ref="CI48:CJ48" si="223">CI49+CI50+CI51</f>
        <v>0</v>
      </c>
      <c r="CJ48" s="31">
        <f t="shared" si="223"/>
        <v>0</v>
      </c>
      <c r="CK48" s="31">
        <f t="shared" si="220"/>
        <v>0</v>
      </c>
      <c r="CL48" s="31">
        <f t="shared" si="220"/>
        <v>0</v>
      </c>
      <c r="CM48" s="55">
        <f t="shared" si="189"/>
        <v>1</v>
      </c>
      <c r="CN48" s="55">
        <f t="shared" si="189"/>
        <v>1</v>
      </c>
      <c r="CO48" s="31">
        <f t="shared" ref="CO48:CP48" si="224">CO49+CO50+CO51</f>
        <v>0</v>
      </c>
      <c r="CP48" s="31">
        <f t="shared" si="224"/>
        <v>0</v>
      </c>
      <c r="CQ48" s="31">
        <f t="shared" si="220"/>
        <v>0</v>
      </c>
      <c r="CR48" s="31">
        <f t="shared" si="220"/>
        <v>0</v>
      </c>
      <c r="CS48" s="55">
        <f t="shared" si="190"/>
        <v>1</v>
      </c>
      <c r="CT48" s="55">
        <f t="shared" si="190"/>
        <v>1</v>
      </c>
      <c r="CU48" s="31">
        <f t="shared" ref="CU48:CV48" si="225">CU49+CU50+CU51</f>
        <v>0</v>
      </c>
      <c r="CV48" s="31">
        <f t="shared" si="225"/>
        <v>0</v>
      </c>
      <c r="CW48" s="31">
        <f t="shared" si="220"/>
        <v>0</v>
      </c>
      <c r="CX48" s="31">
        <f t="shared" si="220"/>
        <v>0</v>
      </c>
      <c r="CY48" s="55">
        <f t="shared" si="191"/>
        <v>1</v>
      </c>
      <c r="CZ48" s="55">
        <f t="shared" si="191"/>
        <v>1</v>
      </c>
      <c r="DA48" s="31">
        <f t="shared" ref="DA48:DB48" si="226">DA49+DA50+DA51</f>
        <v>0</v>
      </c>
      <c r="DB48" s="31">
        <f t="shared" si="226"/>
        <v>0</v>
      </c>
      <c r="DC48" s="31">
        <f t="shared" si="220"/>
        <v>0</v>
      </c>
      <c r="DD48" s="31">
        <f t="shared" si="220"/>
        <v>0</v>
      </c>
      <c r="DE48" s="55">
        <f t="shared" si="192"/>
        <v>1</v>
      </c>
      <c r="DF48" s="55">
        <f t="shared" si="192"/>
        <v>1</v>
      </c>
      <c r="DG48" s="31">
        <f t="shared" ref="DG48:DH48" si="227">DG49+DG50+DG51</f>
        <v>0</v>
      </c>
      <c r="DH48" s="31">
        <f t="shared" si="227"/>
        <v>0</v>
      </c>
      <c r="DI48" s="31">
        <f t="shared" si="220"/>
        <v>0</v>
      </c>
      <c r="DJ48" s="31">
        <f t="shared" si="220"/>
        <v>0</v>
      </c>
      <c r="DK48" s="55">
        <f t="shared" si="193"/>
        <v>1</v>
      </c>
      <c r="DL48" s="55">
        <f t="shared" si="193"/>
        <v>1</v>
      </c>
      <c r="DM48" s="31">
        <f t="shared" ref="DM48:DR48" si="228">DM49+DM50+DM51</f>
        <v>0</v>
      </c>
      <c r="DN48" s="31">
        <f t="shared" si="228"/>
        <v>0</v>
      </c>
      <c r="DO48" s="31">
        <f t="shared" si="228"/>
        <v>0</v>
      </c>
      <c r="DP48" s="31">
        <f t="shared" si="228"/>
        <v>0</v>
      </c>
      <c r="DQ48" s="31">
        <f t="shared" si="228"/>
        <v>0</v>
      </c>
      <c r="DR48" s="31">
        <f t="shared" si="228"/>
        <v>0</v>
      </c>
      <c r="DS48" s="55">
        <f>IF($AY$48=0,1,DQ48/$AY$48-1)</f>
        <v>1</v>
      </c>
      <c r="DT48" s="55">
        <f>IF($AZ$48=0,1,DR48/$AZ$48-1)</f>
        <v>1</v>
      </c>
      <c r="DU48" s="55">
        <f>IF($E$48=0,1,DQ48/$E$48-1)</f>
        <v>1</v>
      </c>
      <c r="DV48" s="55">
        <f>IF($E$48=0,1,DR48/$E$48-1)</f>
        <v>1</v>
      </c>
      <c r="DW48" s="2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</row>
    <row r="49" spans="1:268" s="66" customFormat="1" ht="18" customHeight="1">
      <c r="A49" s="230" t="s">
        <v>110</v>
      </c>
      <c r="B49" s="231"/>
      <c r="C49" s="31"/>
      <c r="D49" s="31"/>
      <c r="E49" s="31"/>
      <c r="F49" s="31"/>
      <c r="G49" s="31"/>
      <c r="H49" s="31"/>
      <c r="I49" s="31"/>
      <c r="J49" s="31"/>
      <c r="K49" s="26">
        <f t="shared" si="213"/>
        <v>0</v>
      </c>
      <c r="L49" s="26">
        <f t="shared" si="213"/>
        <v>0</v>
      </c>
      <c r="M49" s="31"/>
      <c r="N49" s="31"/>
      <c r="O49" s="26"/>
      <c r="P49" s="26"/>
      <c r="Q49" s="31"/>
      <c r="R49" s="31"/>
      <c r="S49" s="26"/>
      <c r="T49" s="26"/>
      <c r="U49" s="31"/>
      <c r="V49" s="31"/>
      <c r="W49" s="26"/>
      <c r="X49" s="26"/>
      <c r="Y49" s="31"/>
      <c r="Z49" s="31"/>
      <c r="AA49" s="26"/>
      <c r="AB49" s="26"/>
      <c r="AC49" s="31"/>
      <c r="AD49" s="31"/>
      <c r="AE49" s="26"/>
      <c r="AF49" s="26"/>
      <c r="AG49" s="31"/>
      <c r="AH49" s="31"/>
      <c r="AI49" s="26"/>
      <c r="AJ49" s="26"/>
      <c r="AK49" s="31"/>
      <c r="AL49" s="31"/>
      <c r="AM49" s="26"/>
      <c r="AN49" s="26"/>
      <c r="AO49" s="31"/>
      <c r="AP49" s="31"/>
      <c r="AQ49" s="26"/>
      <c r="AR49" s="26"/>
      <c r="AS49" s="31"/>
      <c r="AT49" s="31"/>
      <c r="AU49" s="26"/>
      <c r="AV49" s="26"/>
      <c r="AW49" s="31"/>
      <c r="AX49" s="31"/>
      <c r="AY49" s="31"/>
      <c r="AZ49" s="31"/>
      <c r="BA49" s="55">
        <f t="shared" si="212"/>
        <v>1</v>
      </c>
      <c r="BB49" s="55">
        <f t="shared" si="212"/>
        <v>1</v>
      </c>
      <c r="BC49" s="31"/>
      <c r="BD49" s="31"/>
      <c r="BE49" s="31"/>
      <c r="BF49" s="31"/>
      <c r="BG49" s="26">
        <f t="shared" si="214"/>
        <v>0</v>
      </c>
      <c r="BH49" s="26">
        <f t="shared" si="214"/>
        <v>0</v>
      </c>
      <c r="BI49" s="55">
        <f t="shared" si="184"/>
        <v>1</v>
      </c>
      <c r="BJ49" s="55">
        <f t="shared" si="184"/>
        <v>1</v>
      </c>
      <c r="BK49" s="31"/>
      <c r="BL49" s="31"/>
      <c r="BM49" s="26"/>
      <c r="BN49" s="26"/>
      <c r="BO49" s="55">
        <f t="shared" si="185"/>
        <v>1</v>
      </c>
      <c r="BP49" s="55">
        <f t="shared" si="185"/>
        <v>1</v>
      </c>
      <c r="BQ49" s="31"/>
      <c r="BR49" s="31"/>
      <c r="BS49" s="26"/>
      <c r="BT49" s="26"/>
      <c r="BU49" s="55">
        <f t="shared" si="186"/>
        <v>1</v>
      </c>
      <c r="BV49" s="55">
        <f t="shared" si="186"/>
        <v>1</v>
      </c>
      <c r="BW49" s="31"/>
      <c r="BX49" s="31"/>
      <c r="BY49" s="26"/>
      <c r="BZ49" s="26"/>
      <c r="CA49" s="55">
        <f t="shared" si="187"/>
        <v>1</v>
      </c>
      <c r="CB49" s="55">
        <f t="shared" si="187"/>
        <v>1</v>
      </c>
      <c r="CC49" s="31"/>
      <c r="CD49" s="31"/>
      <c r="CE49" s="26"/>
      <c r="CF49" s="26"/>
      <c r="CG49" s="55">
        <f t="shared" si="188"/>
        <v>1</v>
      </c>
      <c r="CH49" s="55">
        <f t="shared" si="188"/>
        <v>1</v>
      </c>
      <c r="CI49" s="31"/>
      <c r="CJ49" s="31"/>
      <c r="CK49" s="26"/>
      <c r="CL49" s="26"/>
      <c r="CM49" s="55">
        <f t="shared" si="189"/>
        <v>1</v>
      </c>
      <c r="CN49" s="55">
        <f t="shared" si="189"/>
        <v>1</v>
      </c>
      <c r="CO49" s="31"/>
      <c r="CP49" s="31"/>
      <c r="CQ49" s="26"/>
      <c r="CR49" s="26"/>
      <c r="CS49" s="55">
        <f t="shared" si="190"/>
        <v>1</v>
      </c>
      <c r="CT49" s="55">
        <f t="shared" si="190"/>
        <v>1</v>
      </c>
      <c r="CU49" s="31"/>
      <c r="CV49" s="31"/>
      <c r="CW49" s="26"/>
      <c r="CX49" s="26"/>
      <c r="CY49" s="55">
        <f t="shared" si="191"/>
        <v>1</v>
      </c>
      <c r="CZ49" s="55">
        <f t="shared" si="191"/>
        <v>1</v>
      </c>
      <c r="DA49" s="31"/>
      <c r="DB49" s="31"/>
      <c r="DC49" s="26"/>
      <c r="DD49" s="26"/>
      <c r="DE49" s="55">
        <f t="shared" si="192"/>
        <v>1</v>
      </c>
      <c r="DF49" s="55">
        <f t="shared" si="192"/>
        <v>1</v>
      </c>
      <c r="DG49" s="31"/>
      <c r="DH49" s="31"/>
      <c r="DI49" s="26"/>
      <c r="DJ49" s="26"/>
      <c r="DK49" s="55">
        <f t="shared" si="193"/>
        <v>1</v>
      </c>
      <c r="DL49" s="55">
        <f t="shared" si="193"/>
        <v>1</v>
      </c>
      <c r="DM49" s="31"/>
      <c r="DN49" s="31"/>
      <c r="DO49" s="31"/>
      <c r="DP49" s="31"/>
      <c r="DQ49" s="31"/>
      <c r="DR49" s="31"/>
      <c r="DS49" s="55">
        <f>IF($AY$49=0,1,DQ49/$AY$49-1)</f>
        <v>1</v>
      </c>
      <c r="DT49" s="55">
        <f>IF($AZ$49=0,1,DR49/$AZ$49-1)</f>
        <v>1</v>
      </c>
      <c r="DU49" s="55">
        <f>IF($E$49=0,1,DQ49/$E$49-1)</f>
        <v>1</v>
      </c>
      <c r="DV49" s="55">
        <f>IF($E$49=0,1,DR49/$E$49-1)</f>
        <v>1</v>
      </c>
      <c r="DW49" s="2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30" t="s">
        <v>111</v>
      </c>
      <c r="B50" s="231"/>
      <c r="C50" s="31"/>
      <c r="D50" s="31"/>
      <c r="E50" s="31"/>
      <c r="F50" s="31"/>
      <c r="G50" s="31"/>
      <c r="H50" s="31"/>
      <c r="I50" s="31"/>
      <c r="J50" s="31"/>
      <c r="K50" s="26">
        <f t="shared" si="213"/>
        <v>0</v>
      </c>
      <c r="L50" s="26">
        <f t="shared" si="213"/>
        <v>0</v>
      </c>
      <c r="M50" s="31"/>
      <c r="N50" s="31"/>
      <c r="O50" s="26"/>
      <c r="P50" s="26"/>
      <c r="Q50" s="31"/>
      <c r="R50" s="31"/>
      <c r="S50" s="26"/>
      <c r="T50" s="26"/>
      <c r="U50" s="31"/>
      <c r="V50" s="31"/>
      <c r="W50" s="26"/>
      <c r="X50" s="26"/>
      <c r="Y50" s="31"/>
      <c r="Z50" s="31"/>
      <c r="AA50" s="26"/>
      <c r="AB50" s="26"/>
      <c r="AC50" s="31"/>
      <c r="AD50" s="31"/>
      <c r="AE50" s="26"/>
      <c r="AF50" s="26"/>
      <c r="AG50" s="31"/>
      <c r="AH50" s="31"/>
      <c r="AI50" s="26"/>
      <c r="AJ50" s="26"/>
      <c r="AK50" s="31"/>
      <c r="AL50" s="31"/>
      <c r="AM50" s="26"/>
      <c r="AN50" s="26"/>
      <c r="AO50" s="31"/>
      <c r="AP50" s="31"/>
      <c r="AQ50" s="26"/>
      <c r="AR50" s="26"/>
      <c r="AS50" s="31"/>
      <c r="AT50" s="31"/>
      <c r="AU50" s="26"/>
      <c r="AV50" s="26"/>
      <c r="AW50" s="31"/>
      <c r="AX50" s="31"/>
      <c r="AY50" s="31"/>
      <c r="AZ50" s="31"/>
      <c r="BA50" s="55">
        <f t="shared" si="212"/>
        <v>1</v>
      </c>
      <c r="BB50" s="55">
        <f t="shared" si="212"/>
        <v>1</v>
      </c>
      <c r="BC50" s="31"/>
      <c r="BD50" s="31"/>
      <c r="BE50" s="31"/>
      <c r="BF50" s="31"/>
      <c r="BG50" s="26">
        <f t="shared" si="214"/>
        <v>0</v>
      </c>
      <c r="BH50" s="26">
        <f t="shared" si="214"/>
        <v>0</v>
      </c>
      <c r="BI50" s="55">
        <f t="shared" si="184"/>
        <v>1</v>
      </c>
      <c r="BJ50" s="55">
        <f t="shared" si="184"/>
        <v>1</v>
      </c>
      <c r="BK50" s="31"/>
      <c r="BL50" s="31"/>
      <c r="BM50" s="26"/>
      <c r="BN50" s="26"/>
      <c r="BO50" s="55">
        <f t="shared" si="185"/>
        <v>1</v>
      </c>
      <c r="BP50" s="55">
        <f t="shared" si="185"/>
        <v>1</v>
      </c>
      <c r="BQ50" s="31"/>
      <c r="BR50" s="31"/>
      <c r="BS50" s="26"/>
      <c r="BT50" s="26"/>
      <c r="BU50" s="55">
        <f t="shared" si="186"/>
        <v>1</v>
      </c>
      <c r="BV50" s="55">
        <f t="shared" si="186"/>
        <v>1</v>
      </c>
      <c r="BW50" s="31"/>
      <c r="BX50" s="31"/>
      <c r="BY50" s="26"/>
      <c r="BZ50" s="26"/>
      <c r="CA50" s="55">
        <f t="shared" si="187"/>
        <v>1</v>
      </c>
      <c r="CB50" s="55">
        <f t="shared" si="187"/>
        <v>1</v>
      </c>
      <c r="CC50" s="31"/>
      <c r="CD50" s="31"/>
      <c r="CE50" s="26"/>
      <c r="CF50" s="26"/>
      <c r="CG50" s="55">
        <f t="shared" si="188"/>
        <v>1</v>
      </c>
      <c r="CH50" s="55">
        <f t="shared" si="188"/>
        <v>1</v>
      </c>
      <c r="CI50" s="31"/>
      <c r="CJ50" s="31"/>
      <c r="CK50" s="26"/>
      <c r="CL50" s="26"/>
      <c r="CM50" s="55">
        <f t="shared" si="189"/>
        <v>1</v>
      </c>
      <c r="CN50" s="55">
        <f t="shared" si="189"/>
        <v>1</v>
      </c>
      <c r="CO50" s="31"/>
      <c r="CP50" s="31"/>
      <c r="CQ50" s="26"/>
      <c r="CR50" s="26"/>
      <c r="CS50" s="55">
        <f t="shared" si="190"/>
        <v>1</v>
      </c>
      <c r="CT50" s="55">
        <f t="shared" si="190"/>
        <v>1</v>
      </c>
      <c r="CU50" s="31"/>
      <c r="CV50" s="31"/>
      <c r="CW50" s="26"/>
      <c r="CX50" s="26"/>
      <c r="CY50" s="55">
        <f t="shared" si="191"/>
        <v>1</v>
      </c>
      <c r="CZ50" s="55">
        <f t="shared" si="191"/>
        <v>1</v>
      </c>
      <c r="DA50" s="31"/>
      <c r="DB50" s="31"/>
      <c r="DC50" s="26"/>
      <c r="DD50" s="26"/>
      <c r="DE50" s="55">
        <f t="shared" si="192"/>
        <v>1</v>
      </c>
      <c r="DF50" s="55">
        <f t="shared" si="192"/>
        <v>1</v>
      </c>
      <c r="DG50" s="31"/>
      <c r="DH50" s="31"/>
      <c r="DI50" s="26"/>
      <c r="DJ50" s="26"/>
      <c r="DK50" s="55">
        <f t="shared" si="193"/>
        <v>1</v>
      </c>
      <c r="DL50" s="55">
        <f t="shared" si="193"/>
        <v>1</v>
      </c>
      <c r="DM50" s="31"/>
      <c r="DN50" s="31"/>
      <c r="DO50" s="31"/>
      <c r="DP50" s="31"/>
      <c r="DQ50" s="31"/>
      <c r="DR50" s="31"/>
      <c r="DS50" s="55">
        <f>IF($AY$50=0,1,DQ50/$AY$50-1)</f>
        <v>1</v>
      </c>
      <c r="DT50" s="55">
        <f>IF($AZ$50=0,1,DR50/$AZ$50-1)</f>
        <v>1</v>
      </c>
      <c r="DU50" s="55">
        <f>IF($E$50=0,1,DQ50/$E$50-1)</f>
        <v>1</v>
      </c>
      <c r="DV50" s="55">
        <f>IF($E$50=0,1,DR50/$E$50-1)</f>
        <v>1</v>
      </c>
      <c r="DW50" s="2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30" t="s">
        <v>112</v>
      </c>
      <c r="B51" s="231"/>
      <c r="C51" s="31"/>
      <c r="D51" s="31"/>
      <c r="E51" s="31"/>
      <c r="F51" s="31"/>
      <c r="G51" s="31"/>
      <c r="H51" s="31"/>
      <c r="I51" s="31"/>
      <c r="J51" s="31"/>
      <c r="K51" s="26">
        <f t="shared" si="213"/>
        <v>0</v>
      </c>
      <c r="L51" s="26">
        <f t="shared" si="213"/>
        <v>0</v>
      </c>
      <c r="M51" s="31"/>
      <c r="N51" s="31"/>
      <c r="O51" s="26"/>
      <c r="P51" s="26"/>
      <c r="Q51" s="31"/>
      <c r="R51" s="31"/>
      <c r="S51" s="26"/>
      <c r="T51" s="26"/>
      <c r="U51" s="31"/>
      <c r="V51" s="31"/>
      <c r="W51" s="26"/>
      <c r="X51" s="26"/>
      <c r="Y51" s="31"/>
      <c r="Z51" s="31"/>
      <c r="AA51" s="26"/>
      <c r="AB51" s="26"/>
      <c r="AC51" s="31"/>
      <c r="AD51" s="31"/>
      <c r="AE51" s="26"/>
      <c r="AF51" s="26"/>
      <c r="AG51" s="31"/>
      <c r="AH51" s="31"/>
      <c r="AI51" s="26"/>
      <c r="AJ51" s="26"/>
      <c r="AK51" s="31"/>
      <c r="AL51" s="31"/>
      <c r="AM51" s="26"/>
      <c r="AN51" s="26"/>
      <c r="AO51" s="31"/>
      <c r="AP51" s="31"/>
      <c r="AQ51" s="26"/>
      <c r="AR51" s="26"/>
      <c r="AS51" s="31"/>
      <c r="AT51" s="31"/>
      <c r="AU51" s="26"/>
      <c r="AV51" s="26"/>
      <c r="AW51" s="31"/>
      <c r="AX51" s="31"/>
      <c r="AY51" s="31"/>
      <c r="AZ51" s="31"/>
      <c r="BA51" s="55">
        <f t="shared" si="212"/>
        <v>1</v>
      </c>
      <c r="BB51" s="55">
        <f t="shared" si="212"/>
        <v>1</v>
      </c>
      <c r="BC51" s="31"/>
      <c r="BD51" s="31"/>
      <c r="BE51" s="31"/>
      <c r="BF51" s="31"/>
      <c r="BG51" s="26">
        <f t="shared" si="214"/>
        <v>0</v>
      </c>
      <c r="BH51" s="26">
        <f t="shared" si="214"/>
        <v>0</v>
      </c>
      <c r="BI51" s="55">
        <f t="shared" si="184"/>
        <v>1</v>
      </c>
      <c r="BJ51" s="55">
        <f t="shared" si="184"/>
        <v>1</v>
      </c>
      <c r="BK51" s="31"/>
      <c r="BL51" s="31"/>
      <c r="BM51" s="26"/>
      <c r="BN51" s="26"/>
      <c r="BO51" s="55">
        <f t="shared" si="185"/>
        <v>1</v>
      </c>
      <c r="BP51" s="55">
        <f t="shared" si="185"/>
        <v>1</v>
      </c>
      <c r="BQ51" s="31"/>
      <c r="BR51" s="31"/>
      <c r="BS51" s="26"/>
      <c r="BT51" s="26"/>
      <c r="BU51" s="55">
        <f t="shared" si="186"/>
        <v>1</v>
      </c>
      <c r="BV51" s="55">
        <f t="shared" si="186"/>
        <v>1</v>
      </c>
      <c r="BW51" s="31"/>
      <c r="BX51" s="31"/>
      <c r="BY51" s="26"/>
      <c r="BZ51" s="26"/>
      <c r="CA51" s="55">
        <f t="shared" si="187"/>
        <v>1</v>
      </c>
      <c r="CB51" s="55">
        <f t="shared" si="187"/>
        <v>1</v>
      </c>
      <c r="CC51" s="31"/>
      <c r="CD51" s="31"/>
      <c r="CE51" s="26"/>
      <c r="CF51" s="26"/>
      <c r="CG51" s="55">
        <f t="shared" si="188"/>
        <v>1</v>
      </c>
      <c r="CH51" s="55">
        <f t="shared" si="188"/>
        <v>1</v>
      </c>
      <c r="CI51" s="31"/>
      <c r="CJ51" s="31"/>
      <c r="CK51" s="26"/>
      <c r="CL51" s="26"/>
      <c r="CM51" s="55">
        <f t="shared" si="189"/>
        <v>1</v>
      </c>
      <c r="CN51" s="55">
        <f t="shared" si="189"/>
        <v>1</v>
      </c>
      <c r="CO51" s="31"/>
      <c r="CP51" s="31"/>
      <c r="CQ51" s="26"/>
      <c r="CR51" s="26"/>
      <c r="CS51" s="55">
        <f t="shared" si="190"/>
        <v>1</v>
      </c>
      <c r="CT51" s="55">
        <f t="shared" si="190"/>
        <v>1</v>
      </c>
      <c r="CU51" s="31"/>
      <c r="CV51" s="31"/>
      <c r="CW51" s="26"/>
      <c r="CX51" s="26"/>
      <c r="CY51" s="55">
        <f t="shared" si="191"/>
        <v>1</v>
      </c>
      <c r="CZ51" s="55">
        <f t="shared" si="191"/>
        <v>1</v>
      </c>
      <c r="DA51" s="31"/>
      <c r="DB51" s="31"/>
      <c r="DC51" s="26"/>
      <c r="DD51" s="26"/>
      <c r="DE51" s="55">
        <f t="shared" si="192"/>
        <v>1</v>
      </c>
      <c r="DF51" s="55">
        <f t="shared" si="192"/>
        <v>1</v>
      </c>
      <c r="DG51" s="31"/>
      <c r="DH51" s="31"/>
      <c r="DI51" s="26"/>
      <c r="DJ51" s="26"/>
      <c r="DK51" s="55">
        <f t="shared" si="193"/>
        <v>1</v>
      </c>
      <c r="DL51" s="55">
        <f t="shared" si="193"/>
        <v>1</v>
      </c>
      <c r="DM51" s="31"/>
      <c r="DN51" s="31"/>
      <c r="DO51" s="31"/>
      <c r="DP51" s="31"/>
      <c r="DQ51" s="31"/>
      <c r="DR51" s="31"/>
      <c r="DS51" s="55">
        <f>IF($AY$51=0,1,DQ51/$AY$51-1)</f>
        <v>1</v>
      </c>
      <c r="DT51" s="55">
        <f>IF($AZ$51=0,1,DR51/$AZ$51-1)</f>
        <v>1</v>
      </c>
      <c r="DU51" s="55">
        <f>IF($E$51=0,1,DQ51/$E$51-1)</f>
        <v>1</v>
      </c>
      <c r="DV51" s="55">
        <f>IF($E$51=0,1,DR51/$E$51-1)</f>
        <v>1</v>
      </c>
      <c r="DW51" s="2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30" t="s">
        <v>104</v>
      </c>
      <c r="B52" s="231"/>
      <c r="C52" s="29">
        <f>'[1]прогноз '!B47</f>
        <v>67539.899999999994</v>
      </c>
      <c r="D52" s="31">
        <f>'[1]прогноз '!C47</f>
        <v>56426.8</v>
      </c>
      <c r="E52" s="26">
        <f>G52+I52+M52+Q52+U52+Y52+AC52+AG52+AK52+AO52+AS52+AW52</f>
        <v>75160.5</v>
      </c>
      <c r="F52" s="31">
        <f>H52+J52+N52+R52+V52+Z52+AD52+AH52+AL52+AP52+AT52+AX52</f>
        <v>62715.4</v>
      </c>
      <c r="G52" s="31">
        <v>1302.2</v>
      </c>
      <c r="H52" s="31">
        <v>262.8</v>
      </c>
      <c r="I52" s="31">
        <v>19721.900000000001</v>
      </c>
      <c r="J52" s="31">
        <v>18313.400000000001</v>
      </c>
      <c r="K52" s="26">
        <f t="shared" si="213"/>
        <v>21024.100000000002</v>
      </c>
      <c r="L52" s="26">
        <f t="shared" si="213"/>
        <v>18576.2</v>
      </c>
      <c r="M52" s="31">
        <v>3527.7</v>
      </c>
      <c r="N52" s="31">
        <v>1087.3</v>
      </c>
      <c r="O52" s="26">
        <f>K52+M52</f>
        <v>24551.800000000003</v>
      </c>
      <c r="P52" s="26">
        <f>L52+N52</f>
        <v>19663.5</v>
      </c>
      <c r="Q52" s="31">
        <v>14254.9</v>
      </c>
      <c r="R52" s="31">
        <v>13232.6</v>
      </c>
      <c r="S52" s="26">
        <f>O52+Q52</f>
        <v>38806.700000000004</v>
      </c>
      <c r="T52" s="26">
        <f>P52+R52</f>
        <v>32896.1</v>
      </c>
      <c r="U52" s="31">
        <v>3770</v>
      </c>
      <c r="V52" s="31">
        <v>2917.4</v>
      </c>
      <c r="W52" s="26">
        <f>S52+U52</f>
        <v>42576.700000000004</v>
      </c>
      <c r="X52" s="26">
        <f>T52+V52</f>
        <v>35813.5</v>
      </c>
      <c r="Y52" s="31">
        <v>15443</v>
      </c>
      <c r="Z52" s="31">
        <v>15033.3</v>
      </c>
      <c r="AA52" s="26">
        <f>W52+Y52</f>
        <v>58019.700000000004</v>
      </c>
      <c r="AB52" s="26">
        <f>X52+Z52</f>
        <v>50846.8</v>
      </c>
      <c r="AC52" s="31">
        <v>1144.4000000000001</v>
      </c>
      <c r="AD52" s="31">
        <v>837.2</v>
      </c>
      <c r="AE52" s="26">
        <f>AA52+AC52</f>
        <v>59164.100000000006</v>
      </c>
      <c r="AF52" s="26">
        <f>AB52+AD52</f>
        <v>51684</v>
      </c>
      <c r="AG52" s="31">
        <v>1072</v>
      </c>
      <c r="AH52" s="31">
        <v>909</v>
      </c>
      <c r="AI52" s="26">
        <f>AE52+AG52</f>
        <v>60236.100000000006</v>
      </c>
      <c r="AJ52" s="26">
        <f>AF52+AH52</f>
        <v>52593</v>
      </c>
      <c r="AK52" s="31">
        <v>1452</v>
      </c>
      <c r="AL52" s="31">
        <v>1090.9000000000001</v>
      </c>
      <c r="AM52" s="26">
        <f>AI52+AK52</f>
        <v>61688.100000000006</v>
      </c>
      <c r="AN52" s="26">
        <f>AJ52+AL52</f>
        <v>53683.9</v>
      </c>
      <c r="AO52" s="31">
        <v>2743</v>
      </c>
      <c r="AP52" s="31">
        <v>1601.8</v>
      </c>
      <c r="AQ52" s="26">
        <f>AM52+AO52</f>
        <v>64431.100000000006</v>
      </c>
      <c r="AR52" s="26">
        <f>AN52+AP52</f>
        <v>55285.700000000004</v>
      </c>
      <c r="AS52" s="31">
        <f>1199.1+AT52</f>
        <v>1715.6999999999998</v>
      </c>
      <c r="AT52" s="31">
        <v>516.6</v>
      </c>
      <c r="AU52" s="26">
        <f>AQ52+AS52</f>
        <v>66146.8</v>
      </c>
      <c r="AV52" s="26">
        <f>AR52+AT52</f>
        <v>55802.3</v>
      </c>
      <c r="AW52" s="31">
        <f>2100.6+AX52</f>
        <v>9013.7000000000007</v>
      </c>
      <c r="AX52" s="31">
        <v>6913.1</v>
      </c>
      <c r="AY52" s="31">
        <f>8424.2+1860.7+1703.5+1485+534.3+AZ52</f>
        <v>83911.3</v>
      </c>
      <c r="AZ52" s="31">
        <v>69903.600000000006</v>
      </c>
      <c r="BA52" s="55">
        <f t="shared" si="212"/>
        <v>0.1164281770344795</v>
      </c>
      <c r="BB52" s="55">
        <f t="shared" si="212"/>
        <v>0.1146161867739024</v>
      </c>
      <c r="BC52" s="31">
        <v>3358.3</v>
      </c>
      <c r="BD52" s="31">
        <v>2194</v>
      </c>
      <c r="BE52" s="31">
        <v>5172.2</v>
      </c>
      <c r="BF52" s="31">
        <v>2763.4</v>
      </c>
      <c r="BG52" s="26">
        <f t="shared" si="214"/>
        <v>8530.5</v>
      </c>
      <c r="BH52" s="26">
        <f t="shared" si="214"/>
        <v>4957.3999999999996</v>
      </c>
      <c r="BI52" s="55">
        <f t="shared" si="184"/>
        <v>-0.59425135915449423</v>
      </c>
      <c r="BJ52" s="55">
        <f t="shared" si="184"/>
        <v>-0.73313164156286004</v>
      </c>
      <c r="BK52" s="31">
        <v>27500</v>
      </c>
      <c r="BL52" s="31">
        <v>2775.1</v>
      </c>
      <c r="BM52" s="26">
        <f>BG52+BK52</f>
        <v>36030.5</v>
      </c>
      <c r="BN52" s="26">
        <f>BH52+BL52</f>
        <v>7732.5</v>
      </c>
      <c r="BO52" s="55">
        <f t="shared" si="185"/>
        <v>0.46752987560993464</v>
      </c>
      <c r="BP52" s="55">
        <f t="shared" si="185"/>
        <v>-0.60675871538637582</v>
      </c>
      <c r="BQ52" s="31"/>
      <c r="BR52" s="31"/>
      <c r="BS52" s="26">
        <f>BM52+BQ52</f>
        <v>36030.5</v>
      </c>
      <c r="BT52" s="26">
        <f>BN52+BR52</f>
        <v>7732.5</v>
      </c>
      <c r="BU52" s="55">
        <f t="shared" si="186"/>
        <v>-7.1539192974409138E-2</v>
      </c>
      <c r="BV52" s="55">
        <f t="shared" si="186"/>
        <v>-0.7649417408142607</v>
      </c>
      <c r="BW52" s="31"/>
      <c r="BX52" s="31"/>
      <c r="BY52" s="26">
        <f>BS52+BW52</f>
        <v>36030.5</v>
      </c>
      <c r="BZ52" s="26">
        <f>BT52+BX52</f>
        <v>7732.5</v>
      </c>
      <c r="CA52" s="55">
        <f t="shared" si="187"/>
        <v>-0.1537507603924213</v>
      </c>
      <c r="CB52" s="55">
        <f t="shared" si="187"/>
        <v>-0.78408979853965688</v>
      </c>
      <c r="CC52" s="31"/>
      <c r="CD52" s="31"/>
      <c r="CE52" s="26">
        <f>BY52+CC52</f>
        <v>36030.5</v>
      </c>
      <c r="CF52" s="26">
        <f>BZ52+CD52</f>
        <v>7732.5</v>
      </c>
      <c r="CG52" s="55">
        <f t="shared" si="188"/>
        <v>-0.37899541017964589</v>
      </c>
      <c r="CH52" s="55">
        <f t="shared" si="188"/>
        <v>-0.84792553317022901</v>
      </c>
      <c r="CI52" s="31"/>
      <c r="CJ52" s="31"/>
      <c r="CK52" s="26">
        <f>CE52+CI52</f>
        <v>36030.5</v>
      </c>
      <c r="CL52" s="26">
        <f>CF52+CJ52</f>
        <v>7732.5</v>
      </c>
      <c r="CM52" s="55">
        <f t="shared" si="189"/>
        <v>-0.39100738454569584</v>
      </c>
      <c r="CN52" s="55">
        <f t="shared" si="189"/>
        <v>-0.85038890178778725</v>
      </c>
      <c r="CO52" s="31"/>
      <c r="CP52" s="31"/>
      <c r="CQ52" s="26">
        <f>CK52+CO52</f>
        <v>36030.5</v>
      </c>
      <c r="CR52" s="26">
        <f>CL52+CP52</f>
        <v>7732.5</v>
      </c>
      <c r="CS52" s="55">
        <f t="shared" si="190"/>
        <v>-0.40184540499799959</v>
      </c>
      <c r="CT52" s="55">
        <f t="shared" si="190"/>
        <v>-0.85297473047743999</v>
      </c>
      <c r="CU52" s="31"/>
      <c r="CV52" s="31"/>
      <c r="CW52" s="26">
        <f>CQ52+CU52</f>
        <v>36030.5</v>
      </c>
      <c r="CX52" s="26">
        <f>CR52+CV52</f>
        <v>7732.5</v>
      </c>
      <c r="CY52" s="55">
        <f t="shared" si="191"/>
        <v>-0.41592462727819468</v>
      </c>
      <c r="CZ52" s="55">
        <f t="shared" si="191"/>
        <v>-0.85596240213546337</v>
      </c>
      <c r="DA52" s="31"/>
      <c r="DB52" s="31"/>
      <c r="DC52" s="26">
        <f>CW52+DA52</f>
        <v>36030.5</v>
      </c>
      <c r="DD52" s="26">
        <f>CX52+DB52</f>
        <v>7732.5</v>
      </c>
      <c r="DE52" s="55">
        <f t="shared" si="192"/>
        <v>-0.44079023949614404</v>
      </c>
      <c r="DF52" s="55">
        <f t="shared" si="192"/>
        <v>-0.86013562277406275</v>
      </c>
      <c r="DG52" s="31"/>
      <c r="DH52" s="31"/>
      <c r="DI52" s="26">
        <f>DC52+DG52</f>
        <v>36030.5</v>
      </c>
      <c r="DJ52" s="26">
        <f>DD52+DH52</f>
        <v>7732.5</v>
      </c>
      <c r="DK52" s="55">
        <f t="shared" si="193"/>
        <v>-0.45529488954870079</v>
      </c>
      <c r="DL52" s="55">
        <f t="shared" si="193"/>
        <v>-0.86143044283120951</v>
      </c>
      <c r="DM52" s="31"/>
      <c r="DN52" s="31"/>
      <c r="DO52" s="31"/>
      <c r="DP52" s="31"/>
      <c r="DQ52" s="31">
        <f>8424.2+1860.7+1703.5+1485+534.3+DR52</f>
        <v>87010.6</v>
      </c>
      <c r="DR52" s="31">
        <f>69903.6+3099.3</f>
        <v>73002.900000000009</v>
      </c>
      <c r="DS52" s="55">
        <f>IF($AY$52=0,1,DQ52/$AY$52-1)</f>
        <v>3.6935430627341059E-2</v>
      </c>
      <c r="DT52" s="55">
        <f>IF($AZ$52=0,1,DR52/$AZ$52-1)</f>
        <v>4.433677235507183E-2</v>
      </c>
      <c r="DU52" s="55">
        <f>IF($E$52=0,1,DQ52/$E$52-1)</f>
        <v>0.15766393251774535</v>
      </c>
      <c r="DV52" s="55">
        <f>IF($E$52=0,1,DR52/$E$52-1)</f>
        <v>-2.8706567944598471E-2</v>
      </c>
      <c r="DW52" s="2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30" t="s">
        <v>107</v>
      </c>
      <c r="B53" s="231"/>
      <c r="C53" s="31"/>
      <c r="D53" s="31"/>
      <c r="E53" s="57"/>
      <c r="F53" s="31"/>
      <c r="G53" s="31"/>
      <c r="H53" s="31"/>
      <c r="I53" s="31"/>
      <c r="J53" s="31"/>
      <c r="K53" s="26">
        <f t="shared" si="213"/>
        <v>0</v>
      </c>
      <c r="L53" s="26">
        <f t="shared" si="213"/>
        <v>0</v>
      </c>
      <c r="M53" s="31"/>
      <c r="N53" s="31"/>
      <c r="O53" s="26"/>
      <c r="P53" s="26"/>
      <c r="Q53" s="31"/>
      <c r="R53" s="31"/>
      <c r="S53" s="26"/>
      <c r="T53" s="26"/>
      <c r="U53" s="31"/>
      <c r="V53" s="31"/>
      <c r="W53" s="26"/>
      <c r="X53" s="26"/>
      <c r="Y53" s="31"/>
      <c r="Z53" s="31"/>
      <c r="AA53" s="26"/>
      <c r="AB53" s="26"/>
      <c r="AC53" s="31"/>
      <c r="AD53" s="31"/>
      <c r="AE53" s="26"/>
      <c r="AF53" s="26"/>
      <c r="AG53" s="31"/>
      <c r="AH53" s="31"/>
      <c r="AI53" s="26"/>
      <c r="AJ53" s="26"/>
      <c r="AK53" s="31"/>
      <c r="AL53" s="31"/>
      <c r="AM53" s="26"/>
      <c r="AN53" s="26"/>
      <c r="AO53" s="31"/>
      <c r="AP53" s="31"/>
      <c r="AQ53" s="26"/>
      <c r="AR53" s="26"/>
      <c r="AS53" s="31"/>
      <c r="AT53" s="31"/>
      <c r="AU53" s="26"/>
      <c r="AV53" s="26"/>
      <c r="AW53" s="31"/>
      <c r="AX53" s="31"/>
      <c r="AY53" s="31"/>
      <c r="AZ53" s="31"/>
      <c r="BA53" s="55">
        <f t="shared" si="212"/>
        <v>1</v>
      </c>
      <c r="BB53" s="55">
        <f t="shared" si="212"/>
        <v>1</v>
      </c>
      <c r="BC53" s="31"/>
      <c r="BD53" s="31"/>
      <c r="BE53" s="31"/>
      <c r="BF53" s="31"/>
      <c r="BG53" s="26">
        <f t="shared" si="214"/>
        <v>0</v>
      </c>
      <c r="BH53" s="26">
        <f t="shared" si="214"/>
        <v>0</v>
      </c>
      <c r="BI53" s="55">
        <f t="shared" si="184"/>
        <v>1</v>
      </c>
      <c r="BJ53" s="55">
        <f t="shared" si="184"/>
        <v>1</v>
      </c>
      <c r="BK53" s="31"/>
      <c r="BL53" s="31"/>
      <c r="BM53" s="26"/>
      <c r="BN53" s="26"/>
      <c r="BO53" s="55">
        <f t="shared" si="185"/>
        <v>1</v>
      </c>
      <c r="BP53" s="55">
        <f t="shared" si="185"/>
        <v>1</v>
      </c>
      <c r="BQ53" s="31"/>
      <c r="BR53" s="31"/>
      <c r="BS53" s="26"/>
      <c r="BT53" s="26"/>
      <c r="BU53" s="55">
        <f t="shared" si="186"/>
        <v>1</v>
      </c>
      <c r="BV53" s="55">
        <f t="shared" si="186"/>
        <v>1</v>
      </c>
      <c r="BW53" s="31"/>
      <c r="BX53" s="31"/>
      <c r="BY53" s="26"/>
      <c r="BZ53" s="26"/>
      <c r="CA53" s="55">
        <f t="shared" si="187"/>
        <v>1</v>
      </c>
      <c r="CB53" s="55">
        <f t="shared" si="187"/>
        <v>1</v>
      </c>
      <c r="CC53" s="31"/>
      <c r="CD53" s="31"/>
      <c r="CE53" s="26"/>
      <c r="CF53" s="26"/>
      <c r="CG53" s="55">
        <f t="shared" si="188"/>
        <v>1</v>
      </c>
      <c r="CH53" s="55">
        <f t="shared" si="188"/>
        <v>1</v>
      </c>
      <c r="CI53" s="31"/>
      <c r="CJ53" s="31"/>
      <c r="CK53" s="26"/>
      <c r="CL53" s="26"/>
      <c r="CM53" s="55">
        <f t="shared" si="189"/>
        <v>1</v>
      </c>
      <c r="CN53" s="55">
        <f t="shared" si="189"/>
        <v>1</v>
      </c>
      <c r="CO53" s="31"/>
      <c r="CP53" s="31"/>
      <c r="CQ53" s="26"/>
      <c r="CR53" s="26"/>
      <c r="CS53" s="55">
        <f t="shared" si="190"/>
        <v>1</v>
      </c>
      <c r="CT53" s="55">
        <f t="shared" si="190"/>
        <v>1</v>
      </c>
      <c r="CU53" s="31"/>
      <c r="CV53" s="31"/>
      <c r="CW53" s="26"/>
      <c r="CX53" s="26"/>
      <c r="CY53" s="55">
        <f t="shared" si="191"/>
        <v>1</v>
      </c>
      <c r="CZ53" s="55">
        <f t="shared" si="191"/>
        <v>1</v>
      </c>
      <c r="DA53" s="31"/>
      <c r="DB53" s="31"/>
      <c r="DC53" s="26"/>
      <c r="DD53" s="26"/>
      <c r="DE53" s="55">
        <f t="shared" si="192"/>
        <v>1</v>
      </c>
      <c r="DF53" s="55">
        <f t="shared" si="192"/>
        <v>1</v>
      </c>
      <c r="DG53" s="31"/>
      <c r="DH53" s="31"/>
      <c r="DI53" s="26"/>
      <c r="DJ53" s="26"/>
      <c r="DK53" s="55">
        <f t="shared" si="193"/>
        <v>1</v>
      </c>
      <c r="DL53" s="55">
        <f t="shared" si="193"/>
        <v>1</v>
      </c>
      <c r="DM53" s="31"/>
      <c r="DN53" s="31"/>
      <c r="DO53" s="31"/>
      <c r="DP53" s="31"/>
      <c r="DQ53" s="31"/>
      <c r="DR53" s="31"/>
      <c r="DS53" s="55">
        <f>IF($AY$53=0,1,DQ53/$AY$53-1)</f>
        <v>1</v>
      </c>
      <c r="DT53" s="55">
        <f>IF($AZ$53=0,1,DR53/$AZ$53-1)</f>
        <v>1</v>
      </c>
      <c r="DU53" s="55">
        <f>IF($E$53=0,1,DQ53/$E$53-1)</f>
        <v>1</v>
      </c>
      <c r="DV53" s="55">
        <f>IF($E$53=0,1,DR53/$E$53-1)</f>
        <v>1</v>
      </c>
      <c r="DW53" s="2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4" customFormat="1" ht="18" customHeight="1">
      <c r="A54" s="230" t="s">
        <v>131</v>
      </c>
      <c r="B54" s="231"/>
      <c r="C54" s="31">
        <f>'[1]прогноз '!B58</f>
        <v>34028.400000000001</v>
      </c>
      <c r="D54" s="31">
        <f>'[1]прогноз '!C58</f>
        <v>31513.4</v>
      </c>
      <c r="E54" s="31">
        <v>38054.199999999997</v>
      </c>
      <c r="F54" s="31">
        <f>H54+J54+N54+R54+V54+Z54+AD54+AH54+AL54+AP54+AT54+AX54</f>
        <v>35863.699999999997</v>
      </c>
      <c r="G54" s="31">
        <f>26.5+H54</f>
        <v>1940.9</v>
      </c>
      <c r="H54" s="31">
        <v>1914.4</v>
      </c>
      <c r="I54" s="31">
        <f>110+J54</f>
        <v>3390.7</v>
      </c>
      <c r="J54" s="31">
        <v>3280.7</v>
      </c>
      <c r="K54" s="26">
        <f t="shared" si="213"/>
        <v>5331.6</v>
      </c>
      <c r="L54" s="26">
        <f t="shared" si="213"/>
        <v>5195.1000000000004</v>
      </c>
      <c r="M54" s="31">
        <f>-38.6+N54</f>
        <v>3160.5</v>
      </c>
      <c r="N54" s="31">
        <v>3199.1</v>
      </c>
      <c r="O54" s="26">
        <f t="shared" ref="O54:P55" si="229">K54+M54</f>
        <v>8492.1</v>
      </c>
      <c r="P54" s="26">
        <f t="shared" si="229"/>
        <v>8394.2000000000007</v>
      </c>
      <c r="Q54" s="31">
        <f>454.3+R54</f>
        <v>3714.3</v>
      </c>
      <c r="R54" s="31">
        <v>3260</v>
      </c>
      <c r="S54" s="26">
        <f t="shared" ref="S54:T55" si="230">O54+Q54</f>
        <v>12206.400000000001</v>
      </c>
      <c r="T54" s="26">
        <f t="shared" si="230"/>
        <v>11654.2</v>
      </c>
      <c r="U54" s="31">
        <f>-160.2+V54</f>
        <v>2757.6000000000004</v>
      </c>
      <c r="V54" s="31">
        <v>2917.8</v>
      </c>
      <c r="W54" s="26">
        <f t="shared" ref="W54:X55" si="231">S54+U54</f>
        <v>14964.000000000002</v>
      </c>
      <c r="X54" s="26">
        <f t="shared" si="231"/>
        <v>14572</v>
      </c>
      <c r="Y54" s="31">
        <f>895.7+Z54</f>
        <v>4071.3</v>
      </c>
      <c r="Z54" s="31">
        <v>3175.6</v>
      </c>
      <c r="AA54" s="26">
        <f t="shared" ref="AA54:AB55" si="232">W54+Y54</f>
        <v>19035.300000000003</v>
      </c>
      <c r="AB54" s="26">
        <f t="shared" si="232"/>
        <v>17747.599999999999</v>
      </c>
      <c r="AC54" s="31">
        <f>120+AD54</f>
        <v>2680.4</v>
      </c>
      <c r="AD54" s="31">
        <v>2560.4</v>
      </c>
      <c r="AE54" s="26">
        <f t="shared" ref="AE54:AF55" si="233">AA54+AC54</f>
        <v>21715.700000000004</v>
      </c>
      <c r="AF54" s="26">
        <f t="shared" si="233"/>
        <v>20308</v>
      </c>
      <c r="AG54" s="31">
        <v>2671.5</v>
      </c>
      <c r="AH54" s="31">
        <v>2568.6999999999998</v>
      </c>
      <c r="AI54" s="26">
        <f t="shared" ref="AI54:AJ55" si="234">AE54+AG54</f>
        <v>24387.200000000004</v>
      </c>
      <c r="AJ54" s="26">
        <f t="shared" si="234"/>
        <v>22876.7</v>
      </c>
      <c r="AK54" s="31">
        <v>2707.4</v>
      </c>
      <c r="AL54" s="31">
        <v>2517.1</v>
      </c>
      <c r="AM54" s="26">
        <f t="shared" ref="AM54:AN55" si="235">AI54+AK54</f>
        <v>27094.600000000006</v>
      </c>
      <c r="AN54" s="26">
        <f t="shared" si="235"/>
        <v>25393.8</v>
      </c>
      <c r="AO54" s="31">
        <v>3366.5</v>
      </c>
      <c r="AP54" s="31">
        <v>3114.4</v>
      </c>
      <c r="AQ54" s="26">
        <f t="shared" ref="AQ54:AR55" si="236">AM54+AO54</f>
        <v>30461.100000000006</v>
      </c>
      <c r="AR54" s="26">
        <f t="shared" si="236"/>
        <v>28508.2</v>
      </c>
      <c r="AS54" s="31">
        <f>101.2+AT54</f>
        <v>3326.7</v>
      </c>
      <c r="AT54" s="31">
        <v>3225.5</v>
      </c>
      <c r="AU54" s="26">
        <f t="shared" ref="AU54:AV55" si="237">AQ54+AS54</f>
        <v>33787.800000000003</v>
      </c>
      <c r="AV54" s="26">
        <f t="shared" si="237"/>
        <v>31733.7</v>
      </c>
      <c r="AW54" s="31">
        <f>547.9+AX54</f>
        <v>4677.8999999999996</v>
      </c>
      <c r="AX54" s="31">
        <v>4130</v>
      </c>
      <c r="AY54" s="31"/>
      <c r="AZ54" s="31">
        <v>39141.800000000003</v>
      </c>
      <c r="BA54" s="55">
        <f t="shared" si="212"/>
        <v>-1</v>
      </c>
      <c r="BB54" s="55">
        <f t="shared" si="212"/>
        <v>9.1404400549859766E-2</v>
      </c>
      <c r="BC54" s="31">
        <v>0</v>
      </c>
      <c r="BD54" s="31">
        <v>570.4</v>
      </c>
      <c r="BE54" s="31">
        <v>0</v>
      </c>
      <c r="BF54" s="31">
        <v>3781.2</v>
      </c>
      <c r="BG54" s="26">
        <f t="shared" si="214"/>
        <v>0</v>
      </c>
      <c r="BH54" s="26">
        <f t="shared" si="214"/>
        <v>4351.5999999999995</v>
      </c>
      <c r="BI54" s="55">
        <f t="shared" si="184"/>
        <v>-1</v>
      </c>
      <c r="BJ54" s="55">
        <f t="shared" si="184"/>
        <v>-0.1623645358125928</v>
      </c>
      <c r="BK54" s="31">
        <v>0</v>
      </c>
      <c r="BL54" s="31">
        <v>1881.9</v>
      </c>
      <c r="BM54" s="26">
        <f t="shared" ref="BM54:BN55" si="238">BG54+BK54</f>
        <v>0</v>
      </c>
      <c r="BN54" s="26">
        <f t="shared" si="238"/>
        <v>6233.5</v>
      </c>
      <c r="BO54" s="55">
        <f t="shared" si="185"/>
        <v>-1</v>
      </c>
      <c r="BP54" s="55">
        <f t="shared" si="185"/>
        <v>-0.25740392175549787</v>
      </c>
      <c r="BQ54" s="31"/>
      <c r="BR54" s="31"/>
      <c r="BS54" s="26">
        <f t="shared" ref="BS54:BT55" si="239">BM54+BQ54</f>
        <v>0</v>
      </c>
      <c r="BT54" s="26">
        <f t="shared" si="239"/>
        <v>6233.5</v>
      </c>
      <c r="BU54" s="55">
        <f t="shared" si="186"/>
        <v>-1</v>
      </c>
      <c r="BV54" s="55">
        <f t="shared" si="186"/>
        <v>-0.46512845154536564</v>
      </c>
      <c r="BW54" s="31"/>
      <c r="BX54" s="31"/>
      <c r="BY54" s="26">
        <f t="shared" ref="BY54:BZ55" si="240">BS54+BW54</f>
        <v>0</v>
      </c>
      <c r="BZ54" s="26">
        <f t="shared" si="240"/>
        <v>6233.5</v>
      </c>
      <c r="CA54" s="55">
        <f t="shared" si="187"/>
        <v>-1</v>
      </c>
      <c r="CB54" s="55">
        <f t="shared" si="187"/>
        <v>-0.57222755970354111</v>
      </c>
      <c r="CC54" s="31"/>
      <c r="CD54" s="31"/>
      <c r="CE54" s="26">
        <f t="shared" ref="CE54:CF55" si="241">BY54+CC54</f>
        <v>0</v>
      </c>
      <c r="CF54" s="26">
        <f t="shared" si="241"/>
        <v>6233.5</v>
      </c>
      <c r="CG54" s="55">
        <f t="shared" si="188"/>
        <v>-1</v>
      </c>
      <c r="CH54" s="55">
        <f t="shared" si="188"/>
        <v>-0.64876941107530028</v>
      </c>
      <c r="CI54" s="31"/>
      <c r="CJ54" s="31"/>
      <c r="CK54" s="26">
        <f t="shared" ref="CK54:CL55" si="242">CE54+CI54</f>
        <v>0</v>
      </c>
      <c r="CL54" s="26">
        <f t="shared" si="242"/>
        <v>6233.5</v>
      </c>
      <c r="CM54" s="55">
        <f t="shared" si="189"/>
        <v>-1</v>
      </c>
      <c r="CN54" s="55">
        <f t="shared" si="189"/>
        <v>-0.69305199921213312</v>
      </c>
      <c r="CO54" s="31"/>
      <c r="CP54" s="31"/>
      <c r="CQ54" s="26">
        <f t="shared" ref="CQ54:CR55" si="243">CK54+CO54</f>
        <v>0</v>
      </c>
      <c r="CR54" s="26">
        <f t="shared" si="243"/>
        <v>6233.5</v>
      </c>
      <c r="CS54" s="55">
        <f t="shared" si="190"/>
        <v>-1</v>
      </c>
      <c r="CT54" s="55">
        <f t="shared" si="190"/>
        <v>-0.72751751782381202</v>
      </c>
      <c r="CU54" s="31"/>
      <c r="CV54" s="31"/>
      <c r="CW54" s="26">
        <f t="shared" ref="CW54:CX55" si="244">CQ54+CU54</f>
        <v>0</v>
      </c>
      <c r="CX54" s="26">
        <f t="shared" si="244"/>
        <v>6233.5</v>
      </c>
      <c r="CY54" s="55">
        <f t="shared" si="191"/>
        <v>-1</v>
      </c>
      <c r="CZ54" s="55">
        <f t="shared" si="191"/>
        <v>-0.75452669549260054</v>
      </c>
      <c r="DA54" s="31"/>
      <c r="DB54" s="31"/>
      <c r="DC54" s="26">
        <f t="shared" ref="DC54:DD55" si="245">CW54+DA54</f>
        <v>0</v>
      </c>
      <c r="DD54" s="26">
        <f t="shared" si="245"/>
        <v>6233.5</v>
      </c>
      <c r="DE54" s="55">
        <f t="shared" si="192"/>
        <v>-1</v>
      </c>
      <c r="DF54" s="55">
        <f t="shared" si="192"/>
        <v>-0.78134361341649072</v>
      </c>
      <c r="DG54" s="31"/>
      <c r="DH54" s="31"/>
      <c r="DI54" s="26">
        <f t="shared" ref="DI54:DJ55" si="246">DC54+DG54</f>
        <v>0</v>
      </c>
      <c r="DJ54" s="26">
        <f t="shared" si="246"/>
        <v>6233.5</v>
      </c>
      <c r="DK54" s="55">
        <f t="shared" si="193"/>
        <v>-1</v>
      </c>
      <c r="DL54" s="55">
        <f t="shared" si="193"/>
        <v>-0.80356844616291201</v>
      </c>
      <c r="DM54" s="31"/>
      <c r="DN54" s="31"/>
      <c r="DO54" s="31"/>
      <c r="DP54" s="31"/>
      <c r="DQ54" s="29"/>
      <c r="DR54" s="31">
        <f>39141.8+724</f>
        <v>39865.800000000003</v>
      </c>
      <c r="DS54" s="55">
        <f>IF($AY$54=0,1,DQ54/$AY$54-1)</f>
        <v>1</v>
      </c>
      <c r="DT54" s="55">
        <f>IF($AZ$54=0,1,DR54/$AZ$54-1)</f>
        <v>1.8496849914924729E-2</v>
      </c>
      <c r="DU54" s="55">
        <f>IF($E$54=0,1,DQ54/$E$54-1)</f>
        <v>-1</v>
      </c>
      <c r="DV54" s="55">
        <f>IF($E$54=0,1,DR54/$E$54-1)</f>
        <v>4.7605783330092466E-2</v>
      </c>
      <c r="DW54" s="25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</row>
    <row r="55" spans="1:268" s="64" customFormat="1" ht="18" customHeight="1">
      <c r="A55" s="230" t="s">
        <v>109</v>
      </c>
      <c r="B55" s="231"/>
      <c r="C55" s="31">
        <f>'[1]прогноз '!B57</f>
        <v>14422.5</v>
      </c>
      <c r="D55" s="31">
        <f>'[1]прогноз '!C57</f>
        <v>6897.0999999999995</v>
      </c>
      <c r="E55" s="31">
        <v>18408</v>
      </c>
      <c r="F55" s="31">
        <f>H55+J55+N55+R55+V55+Z55+AD55+AH55+AL55+AP55+AT55+AX55</f>
        <v>5312.2000000000007</v>
      </c>
      <c r="G55" s="31">
        <f>605.1+H55</f>
        <v>689.5</v>
      </c>
      <c r="H55" s="31">
        <v>84.4</v>
      </c>
      <c r="I55" s="31">
        <f>639.5+J55</f>
        <v>1610.7</v>
      </c>
      <c r="J55" s="31">
        <v>971.2</v>
      </c>
      <c r="K55" s="26">
        <f t="shared" si="213"/>
        <v>2300.1999999999998</v>
      </c>
      <c r="L55" s="26">
        <f t="shared" si="213"/>
        <v>1055.6000000000001</v>
      </c>
      <c r="M55" s="31">
        <f>492.5+N55</f>
        <v>627.6</v>
      </c>
      <c r="N55" s="31">
        <v>135.1</v>
      </c>
      <c r="O55" s="26">
        <f t="shared" si="229"/>
        <v>2927.7999999999997</v>
      </c>
      <c r="P55" s="26">
        <f t="shared" si="229"/>
        <v>1190.7</v>
      </c>
      <c r="Q55" s="31">
        <f>477.2+R55</f>
        <v>738.8</v>
      </c>
      <c r="R55" s="31">
        <v>261.60000000000002</v>
      </c>
      <c r="S55" s="26">
        <f t="shared" si="230"/>
        <v>3666.5999999999995</v>
      </c>
      <c r="T55" s="26">
        <f t="shared" si="230"/>
        <v>1452.3000000000002</v>
      </c>
      <c r="U55" s="31">
        <f>47.5+V55</f>
        <v>234.9</v>
      </c>
      <c r="V55" s="31">
        <v>187.4</v>
      </c>
      <c r="W55" s="26">
        <f t="shared" si="231"/>
        <v>3901.4999999999995</v>
      </c>
      <c r="X55" s="26">
        <f t="shared" si="231"/>
        <v>1639.7000000000003</v>
      </c>
      <c r="Y55" s="31">
        <f>2420.1+Z55</f>
        <v>2754</v>
      </c>
      <c r="Z55" s="31">
        <v>333.9</v>
      </c>
      <c r="AA55" s="26">
        <f t="shared" si="232"/>
        <v>6655.5</v>
      </c>
      <c r="AB55" s="26">
        <f t="shared" si="232"/>
        <v>1973.6000000000004</v>
      </c>
      <c r="AC55" s="31">
        <f>245.1+AD55</f>
        <v>817.2</v>
      </c>
      <c r="AD55" s="31">
        <v>572.1</v>
      </c>
      <c r="AE55" s="26">
        <f t="shared" si="233"/>
        <v>7472.7</v>
      </c>
      <c r="AF55" s="26">
        <f t="shared" si="233"/>
        <v>2545.7000000000003</v>
      </c>
      <c r="AG55" s="31">
        <v>684.9</v>
      </c>
      <c r="AH55" s="31">
        <v>418.3</v>
      </c>
      <c r="AI55" s="26">
        <f t="shared" si="234"/>
        <v>8157.5999999999995</v>
      </c>
      <c r="AJ55" s="26">
        <f t="shared" si="234"/>
        <v>2964.0000000000005</v>
      </c>
      <c r="AK55" s="31">
        <v>1249</v>
      </c>
      <c r="AL55" s="31">
        <v>662.4</v>
      </c>
      <c r="AM55" s="26">
        <f t="shared" si="235"/>
        <v>9406.5999999999985</v>
      </c>
      <c r="AN55" s="26">
        <f t="shared" si="235"/>
        <v>3626.4000000000005</v>
      </c>
      <c r="AO55" s="31">
        <v>974</v>
      </c>
      <c r="AP55" s="31">
        <v>328.9</v>
      </c>
      <c r="AQ55" s="26">
        <f t="shared" si="236"/>
        <v>10380.599999999999</v>
      </c>
      <c r="AR55" s="26">
        <f t="shared" si="236"/>
        <v>3955.3000000000006</v>
      </c>
      <c r="AS55" s="31">
        <f>2548.1+AT55</f>
        <v>3593.1</v>
      </c>
      <c r="AT55" s="31">
        <v>1045</v>
      </c>
      <c r="AU55" s="26">
        <f t="shared" si="237"/>
        <v>13973.699999999999</v>
      </c>
      <c r="AV55" s="26">
        <f t="shared" si="237"/>
        <v>5000.3000000000011</v>
      </c>
      <c r="AW55" s="31">
        <f>6385.1+AX55</f>
        <v>6697</v>
      </c>
      <c r="AX55" s="31">
        <v>311.89999999999998</v>
      </c>
      <c r="AY55" s="31"/>
      <c r="AZ55" s="31">
        <v>3337.8</v>
      </c>
      <c r="BA55" s="55">
        <f t="shared" si="212"/>
        <v>-1</v>
      </c>
      <c r="BB55" s="55">
        <f t="shared" si="212"/>
        <v>-0.37167275328489147</v>
      </c>
      <c r="BC55" s="31">
        <v>0</v>
      </c>
      <c r="BD55" s="31">
        <v>234.3</v>
      </c>
      <c r="BE55" s="31">
        <v>0</v>
      </c>
      <c r="BF55" s="31">
        <v>255.4</v>
      </c>
      <c r="BG55" s="26">
        <f t="shared" si="214"/>
        <v>0</v>
      </c>
      <c r="BH55" s="26">
        <f t="shared" si="214"/>
        <v>489.70000000000005</v>
      </c>
      <c r="BI55" s="55">
        <f t="shared" si="184"/>
        <v>-1</v>
      </c>
      <c r="BJ55" s="55">
        <f t="shared" si="184"/>
        <v>-0.53609321712769997</v>
      </c>
      <c r="BK55" s="31">
        <v>0</v>
      </c>
      <c r="BL55" s="31">
        <v>0</v>
      </c>
      <c r="BM55" s="26">
        <f t="shared" si="238"/>
        <v>0</v>
      </c>
      <c r="BN55" s="26">
        <f t="shared" si="238"/>
        <v>489.70000000000005</v>
      </c>
      <c r="BO55" s="55">
        <f t="shared" si="185"/>
        <v>-1</v>
      </c>
      <c r="BP55" s="55">
        <f t="shared" si="185"/>
        <v>-0.58872931888804902</v>
      </c>
      <c r="BQ55" s="31"/>
      <c r="BR55" s="31"/>
      <c r="BS55" s="26">
        <f t="shared" si="239"/>
        <v>0</v>
      </c>
      <c r="BT55" s="26">
        <f t="shared" si="239"/>
        <v>489.70000000000005</v>
      </c>
      <c r="BU55" s="55">
        <f t="shared" si="186"/>
        <v>-1</v>
      </c>
      <c r="BV55" s="55">
        <f t="shared" si="186"/>
        <v>-0.66281071403979896</v>
      </c>
      <c r="BW55" s="31"/>
      <c r="BX55" s="31"/>
      <c r="BY55" s="26">
        <f t="shared" si="240"/>
        <v>0</v>
      </c>
      <c r="BZ55" s="26">
        <f t="shared" si="240"/>
        <v>489.70000000000005</v>
      </c>
      <c r="CA55" s="55">
        <f t="shared" si="187"/>
        <v>-1</v>
      </c>
      <c r="CB55" s="55">
        <f t="shared" si="187"/>
        <v>-0.70134780752576686</v>
      </c>
      <c r="CC55" s="31"/>
      <c r="CD55" s="31"/>
      <c r="CE55" s="26">
        <f t="shared" si="241"/>
        <v>0</v>
      </c>
      <c r="CF55" s="26">
        <f t="shared" si="241"/>
        <v>489.70000000000005</v>
      </c>
      <c r="CG55" s="55">
        <f t="shared" si="188"/>
        <v>-1</v>
      </c>
      <c r="CH55" s="55">
        <f t="shared" si="188"/>
        <v>-0.7518747466558573</v>
      </c>
      <c r="CI55" s="31"/>
      <c r="CJ55" s="31"/>
      <c r="CK55" s="26">
        <f t="shared" si="242"/>
        <v>0</v>
      </c>
      <c r="CL55" s="26">
        <f t="shared" si="242"/>
        <v>489.70000000000005</v>
      </c>
      <c r="CM55" s="55">
        <f t="shared" si="189"/>
        <v>-1</v>
      </c>
      <c r="CN55" s="55">
        <f t="shared" si="189"/>
        <v>-0.80763640648937418</v>
      </c>
      <c r="CO55" s="31"/>
      <c r="CP55" s="31"/>
      <c r="CQ55" s="26">
        <f t="shared" si="243"/>
        <v>0</v>
      </c>
      <c r="CR55" s="26">
        <f t="shared" si="243"/>
        <v>489.70000000000005</v>
      </c>
      <c r="CS55" s="55">
        <f t="shared" si="190"/>
        <v>-1</v>
      </c>
      <c r="CT55" s="55">
        <f t="shared" si="190"/>
        <v>-0.83478407557354928</v>
      </c>
      <c r="CU55" s="31"/>
      <c r="CV55" s="31"/>
      <c r="CW55" s="26">
        <f t="shared" si="244"/>
        <v>0</v>
      </c>
      <c r="CX55" s="26">
        <f t="shared" si="244"/>
        <v>489.70000000000005</v>
      </c>
      <c r="CY55" s="55">
        <f t="shared" si="191"/>
        <v>-1</v>
      </c>
      <c r="CZ55" s="55">
        <f t="shared" si="191"/>
        <v>-0.86496249724244434</v>
      </c>
      <c r="DA55" s="31"/>
      <c r="DB55" s="31"/>
      <c r="DC55" s="26">
        <f t="shared" si="245"/>
        <v>0</v>
      </c>
      <c r="DD55" s="26">
        <f t="shared" si="245"/>
        <v>489.70000000000005</v>
      </c>
      <c r="DE55" s="55">
        <f t="shared" si="192"/>
        <v>-1</v>
      </c>
      <c r="DF55" s="55">
        <f t="shared" si="192"/>
        <v>-0.87619143933456378</v>
      </c>
      <c r="DG55" s="31"/>
      <c r="DH55" s="31"/>
      <c r="DI55" s="26">
        <f t="shared" si="246"/>
        <v>0</v>
      </c>
      <c r="DJ55" s="26">
        <f t="shared" si="246"/>
        <v>489.70000000000005</v>
      </c>
      <c r="DK55" s="55">
        <f t="shared" si="193"/>
        <v>-1</v>
      </c>
      <c r="DL55" s="55">
        <f t="shared" si="193"/>
        <v>-0.90206587604743715</v>
      </c>
      <c r="DM55" s="31"/>
      <c r="DN55" s="31"/>
      <c r="DO55" s="31"/>
      <c r="DP55" s="31"/>
      <c r="DQ55" s="29"/>
      <c r="DR55" s="31">
        <f>3337.8+921</f>
        <v>4258.8</v>
      </c>
      <c r="DS55" s="55">
        <f>IF($AY$55=0,1,DQ55/$AY$55-1)</f>
        <v>1</v>
      </c>
      <c r="DT55" s="55">
        <f>IF($AZ$55=0,1,DR55/$AZ$55-1)</f>
        <v>0.27593025346036315</v>
      </c>
      <c r="DU55" s="55">
        <f>IF($E$55=0,1,DQ55/$E$55-1)</f>
        <v>-1</v>
      </c>
      <c r="DV55" s="55">
        <f>IF($E$55=0,1,DR55/$E$55-1)</f>
        <v>-0.76864406779661021</v>
      </c>
      <c r="DW55" s="25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30" t="s">
        <v>119</v>
      </c>
      <c r="B56" s="231"/>
      <c r="C56" s="29"/>
      <c r="D56" s="31"/>
      <c r="E56" s="26"/>
      <c r="F56" s="31"/>
      <c r="G56" s="31"/>
      <c r="H56" s="31"/>
      <c r="I56" s="31"/>
      <c r="J56" s="31"/>
      <c r="K56" s="26">
        <f t="shared" si="213"/>
        <v>0</v>
      </c>
      <c r="L56" s="26">
        <f t="shared" si="213"/>
        <v>0</v>
      </c>
      <c r="M56" s="31"/>
      <c r="N56" s="31"/>
      <c r="O56" s="26"/>
      <c r="P56" s="26"/>
      <c r="Q56" s="31"/>
      <c r="R56" s="31"/>
      <c r="S56" s="26"/>
      <c r="T56" s="26"/>
      <c r="U56" s="31"/>
      <c r="V56" s="31"/>
      <c r="W56" s="26"/>
      <c r="X56" s="26"/>
      <c r="Y56" s="31"/>
      <c r="Z56" s="31"/>
      <c r="AA56" s="26"/>
      <c r="AB56" s="26"/>
      <c r="AC56" s="31"/>
      <c r="AD56" s="31"/>
      <c r="AE56" s="26"/>
      <c r="AF56" s="26"/>
      <c r="AG56" s="31"/>
      <c r="AH56" s="31"/>
      <c r="AI56" s="26"/>
      <c r="AJ56" s="26"/>
      <c r="AK56" s="31"/>
      <c r="AL56" s="31"/>
      <c r="AM56" s="26"/>
      <c r="AN56" s="26"/>
      <c r="AO56" s="31"/>
      <c r="AP56" s="31"/>
      <c r="AQ56" s="26"/>
      <c r="AR56" s="26"/>
      <c r="AS56" s="31"/>
      <c r="AT56" s="31"/>
      <c r="AU56" s="26"/>
      <c r="AV56" s="26"/>
      <c r="AW56" s="31"/>
      <c r="AX56" s="31"/>
      <c r="AY56" s="31"/>
      <c r="AZ56" s="31"/>
      <c r="BA56" s="55">
        <f t="shared" si="212"/>
        <v>1</v>
      </c>
      <c r="BB56" s="55">
        <f t="shared" si="212"/>
        <v>1</v>
      </c>
      <c r="BC56" s="31"/>
      <c r="BD56" s="31"/>
      <c r="BE56" s="31"/>
      <c r="BF56" s="31"/>
      <c r="BG56" s="26">
        <f t="shared" si="214"/>
        <v>0</v>
      </c>
      <c r="BH56" s="26">
        <f t="shared" si="214"/>
        <v>0</v>
      </c>
      <c r="BI56" s="55">
        <f t="shared" si="184"/>
        <v>1</v>
      </c>
      <c r="BJ56" s="55">
        <f t="shared" si="184"/>
        <v>1</v>
      </c>
      <c r="BK56" s="31"/>
      <c r="BL56" s="31"/>
      <c r="BM56" s="26"/>
      <c r="BN56" s="26"/>
      <c r="BO56" s="55">
        <f t="shared" si="185"/>
        <v>1</v>
      </c>
      <c r="BP56" s="55">
        <f t="shared" si="185"/>
        <v>1</v>
      </c>
      <c r="BQ56" s="31"/>
      <c r="BR56" s="31"/>
      <c r="BS56" s="26"/>
      <c r="BT56" s="26"/>
      <c r="BU56" s="55">
        <f t="shared" si="186"/>
        <v>1</v>
      </c>
      <c r="BV56" s="55">
        <f t="shared" si="186"/>
        <v>1</v>
      </c>
      <c r="BW56" s="31"/>
      <c r="BX56" s="31"/>
      <c r="BY56" s="26"/>
      <c r="BZ56" s="26"/>
      <c r="CA56" s="55">
        <f t="shared" si="187"/>
        <v>1</v>
      </c>
      <c r="CB56" s="55">
        <f t="shared" si="187"/>
        <v>1</v>
      </c>
      <c r="CC56" s="31"/>
      <c r="CD56" s="31"/>
      <c r="CE56" s="26"/>
      <c r="CF56" s="26"/>
      <c r="CG56" s="55">
        <f t="shared" si="188"/>
        <v>1</v>
      </c>
      <c r="CH56" s="55">
        <f t="shared" si="188"/>
        <v>1</v>
      </c>
      <c r="CI56" s="31"/>
      <c r="CJ56" s="31"/>
      <c r="CK56" s="26"/>
      <c r="CL56" s="26"/>
      <c r="CM56" s="55">
        <f t="shared" si="189"/>
        <v>1</v>
      </c>
      <c r="CN56" s="55">
        <f t="shared" si="189"/>
        <v>1</v>
      </c>
      <c r="CO56" s="31"/>
      <c r="CP56" s="31"/>
      <c r="CQ56" s="26"/>
      <c r="CR56" s="26"/>
      <c r="CS56" s="55">
        <f t="shared" si="190"/>
        <v>1</v>
      </c>
      <c r="CT56" s="55">
        <f t="shared" si="190"/>
        <v>1</v>
      </c>
      <c r="CU56" s="31"/>
      <c r="CV56" s="31"/>
      <c r="CW56" s="26"/>
      <c r="CX56" s="26"/>
      <c r="CY56" s="55">
        <f t="shared" si="191"/>
        <v>1</v>
      </c>
      <c r="CZ56" s="55">
        <f t="shared" si="191"/>
        <v>1</v>
      </c>
      <c r="DA56" s="31"/>
      <c r="DB56" s="31"/>
      <c r="DC56" s="26"/>
      <c r="DD56" s="26"/>
      <c r="DE56" s="55">
        <f t="shared" si="192"/>
        <v>1</v>
      </c>
      <c r="DF56" s="55">
        <f t="shared" si="192"/>
        <v>1</v>
      </c>
      <c r="DG56" s="31"/>
      <c r="DH56" s="31"/>
      <c r="DI56" s="26"/>
      <c r="DJ56" s="26"/>
      <c r="DK56" s="55">
        <f t="shared" si="193"/>
        <v>1</v>
      </c>
      <c r="DL56" s="55">
        <f t="shared" si="193"/>
        <v>1</v>
      </c>
      <c r="DM56" s="31"/>
      <c r="DN56" s="31"/>
      <c r="DO56" s="31"/>
      <c r="DP56" s="31"/>
      <c r="DQ56" s="31"/>
      <c r="DR56" s="31"/>
      <c r="DS56" s="55">
        <f>IF($AY$56=0,1,DQ56/$AY$56-1)</f>
        <v>1</v>
      </c>
      <c r="DT56" s="55">
        <f>IF($AZ$56=0,1,DR56/$AZ$56-1)</f>
        <v>1</v>
      </c>
      <c r="DU56" s="55">
        <f>IF($E$56=0,1,DQ56/$E$56-1)</f>
        <v>1</v>
      </c>
      <c r="DV56" s="55">
        <f>IF($E$56=0,1,DR56/$E$56-1)</f>
        <v>1</v>
      </c>
      <c r="DW56" s="25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30" t="s">
        <v>120</v>
      </c>
      <c r="B57" s="231"/>
      <c r="C57" s="31">
        <f>'[1]прогноз '!B55</f>
        <v>2734.5</v>
      </c>
      <c r="D57" s="31">
        <f>'[1]прогноз '!C55</f>
        <v>100</v>
      </c>
      <c r="E57" s="31">
        <f>G57+I57+M57+Q57+U57+Y57+AC57+AG57+AK57+AO57+AS57+AW57</f>
        <v>3551.8</v>
      </c>
      <c r="F57" s="31">
        <f>H57+J57+N57+R57+V57+Z57+AD57+AH57+AL57+AP57+AT57+AX57</f>
        <v>1786.8</v>
      </c>
      <c r="G57" s="31">
        <v>500</v>
      </c>
      <c r="H57" s="31">
        <v>0</v>
      </c>
      <c r="I57" s="31">
        <v>200</v>
      </c>
      <c r="J57" s="31">
        <v>0</v>
      </c>
      <c r="K57" s="26">
        <f t="shared" si="213"/>
        <v>700</v>
      </c>
      <c r="L57" s="26">
        <f t="shared" si="213"/>
        <v>0</v>
      </c>
      <c r="M57" s="31">
        <v>0</v>
      </c>
      <c r="N57" s="31">
        <v>0</v>
      </c>
      <c r="O57" s="26">
        <f>K57+M57</f>
        <v>700</v>
      </c>
      <c r="P57" s="26">
        <f>L57+N57</f>
        <v>0</v>
      </c>
      <c r="Q57" s="31">
        <v>300</v>
      </c>
      <c r="R57" s="31">
        <v>0</v>
      </c>
      <c r="S57" s="26">
        <f>O57+Q57</f>
        <v>1000</v>
      </c>
      <c r="T57" s="26">
        <f>P57+R57</f>
        <v>0</v>
      </c>
      <c r="U57" s="31">
        <f>100+V57</f>
        <v>550</v>
      </c>
      <c r="V57" s="31">
        <v>450</v>
      </c>
      <c r="W57" s="26">
        <f>S57+U57</f>
        <v>1550</v>
      </c>
      <c r="X57" s="26">
        <f>T57+V57</f>
        <v>450</v>
      </c>
      <c r="Y57" s="31">
        <f>350+Z57</f>
        <v>747.4</v>
      </c>
      <c r="Z57" s="31">
        <v>397.4</v>
      </c>
      <c r="AA57" s="26">
        <f>W57+Y57</f>
        <v>2297.4</v>
      </c>
      <c r="AB57" s="26">
        <f>X57+Z57</f>
        <v>847.4</v>
      </c>
      <c r="AC57" s="31">
        <v>0</v>
      </c>
      <c r="AD57" s="31">
        <v>0</v>
      </c>
      <c r="AE57" s="26">
        <f>AA57+AC57</f>
        <v>2297.4</v>
      </c>
      <c r="AF57" s="26">
        <f>AB57+AD57</f>
        <v>847.4</v>
      </c>
      <c r="AG57" s="31">
        <v>0</v>
      </c>
      <c r="AH57" s="31">
        <v>0</v>
      </c>
      <c r="AI57" s="26">
        <f>AE57+AG57</f>
        <v>2297.4</v>
      </c>
      <c r="AJ57" s="26">
        <f>AF57+AH57</f>
        <v>847.4</v>
      </c>
      <c r="AK57" s="31">
        <v>0</v>
      </c>
      <c r="AL57" s="31">
        <v>-70</v>
      </c>
      <c r="AM57" s="26">
        <f>AI57+AK57</f>
        <v>2297.4</v>
      </c>
      <c r="AN57" s="26">
        <f>AJ57+AL57</f>
        <v>777.4</v>
      </c>
      <c r="AO57" s="31">
        <v>0</v>
      </c>
      <c r="AP57" s="31">
        <v>0</v>
      </c>
      <c r="AQ57" s="26">
        <f>AM57+AO57</f>
        <v>2297.4</v>
      </c>
      <c r="AR57" s="26">
        <f>AN57+AP57</f>
        <v>777.4</v>
      </c>
      <c r="AS57" s="31">
        <v>245</v>
      </c>
      <c r="AT57" s="31">
        <v>0</v>
      </c>
      <c r="AU57" s="26">
        <f>AQ57+AS57</f>
        <v>2542.4</v>
      </c>
      <c r="AV57" s="26">
        <f>AR57+AT57</f>
        <v>777.4</v>
      </c>
      <c r="AW57" s="31">
        <f>0+AX57</f>
        <v>1009.4</v>
      </c>
      <c r="AX57" s="31">
        <v>1009.4</v>
      </c>
      <c r="AY57" s="31"/>
      <c r="AZ57" s="31">
        <v>109.4</v>
      </c>
      <c r="BA57" s="55">
        <f t="shared" si="212"/>
        <v>-1</v>
      </c>
      <c r="BB57" s="55">
        <f t="shared" si="212"/>
        <v>-0.93877322587866574</v>
      </c>
      <c r="BC57" s="31">
        <v>0</v>
      </c>
      <c r="BD57" s="31">
        <v>0</v>
      </c>
      <c r="BE57" s="31">
        <v>0</v>
      </c>
      <c r="BF57" s="31">
        <v>0</v>
      </c>
      <c r="BG57" s="26">
        <f t="shared" si="214"/>
        <v>0</v>
      </c>
      <c r="BH57" s="26">
        <f t="shared" si="214"/>
        <v>0</v>
      </c>
      <c r="BI57" s="55">
        <f t="shared" si="184"/>
        <v>-1</v>
      </c>
      <c r="BJ57" s="55">
        <f t="shared" si="184"/>
        <v>1</v>
      </c>
      <c r="BK57" s="31">
        <v>0</v>
      </c>
      <c r="BL57" s="31">
        <v>0</v>
      </c>
      <c r="BM57" s="26">
        <f>BG57+BK57</f>
        <v>0</v>
      </c>
      <c r="BN57" s="26">
        <f>BH57+BL57</f>
        <v>0</v>
      </c>
      <c r="BO57" s="55">
        <f t="shared" si="185"/>
        <v>-1</v>
      </c>
      <c r="BP57" s="55">
        <f t="shared" si="185"/>
        <v>1</v>
      </c>
      <c r="BQ57" s="31"/>
      <c r="BR57" s="31"/>
      <c r="BS57" s="26">
        <f>BM57+BQ57</f>
        <v>0</v>
      </c>
      <c r="BT57" s="26">
        <f>BN57+BR57</f>
        <v>0</v>
      </c>
      <c r="BU57" s="55">
        <f t="shared" si="186"/>
        <v>-1</v>
      </c>
      <c r="BV57" s="55">
        <f t="shared" si="186"/>
        <v>1</v>
      </c>
      <c r="BW57" s="31"/>
      <c r="BX57" s="31"/>
      <c r="BY57" s="26">
        <f>BS57+BW57</f>
        <v>0</v>
      </c>
      <c r="BZ57" s="26">
        <f>BT57+BX57</f>
        <v>0</v>
      </c>
      <c r="CA57" s="55">
        <f t="shared" si="187"/>
        <v>-1</v>
      </c>
      <c r="CB57" s="55">
        <f t="shared" si="187"/>
        <v>-1</v>
      </c>
      <c r="CC57" s="31"/>
      <c r="CD57" s="31"/>
      <c r="CE57" s="26">
        <f>BY57+CC57</f>
        <v>0</v>
      </c>
      <c r="CF57" s="26">
        <f>BZ57+CD57</f>
        <v>0</v>
      </c>
      <c r="CG57" s="55">
        <f t="shared" si="188"/>
        <v>-1</v>
      </c>
      <c r="CH57" s="55">
        <f t="shared" si="188"/>
        <v>-1</v>
      </c>
      <c r="CI57" s="31"/>
      <c r="CJ57" s="31"/>
      <c r="CK57" s="26">
        <f>CE57+CI57</f>
        <v>0</v>
      </c>
      <c r="CL57" s="26">
        <f>CF57+CJ57</f>
        <v>0</v>
      </c>
      <c r="CM57" s="55">
        <f t="shared" si="189"/>
        <v>-1</v>
      </c>
      <c r="CN57" s="55">
        <f t="shared" si="189"/>
        <v>-1</v>
      </c>
      <c r="CO57" s="31"/>
      <c r="CP57" s="31"/>
      <c r="CQ57" s="26">
        <f>CK57+CO57</f>
        <v>0</v>
      </c>
      <c r="CR57" s="26">
        <f>CL57+CP57</f>
        <v>0</v>
      </c>
      <c r="CS57" s="55">
        <f t="shared" si="190"/>
        <v>-1</v>
      </c>
      <c r="CT57" s="55">
        <f t="shared" si="190"/>
        <v>-1</v>
      </c>
      <c r="CU57" s="31"/>
      <c r="CV57" s="31"/>
      <c r="CW57" s="26">
        <f>CQ57+CU57</f>
        <v>0</v>
      </c>
      <c r="CX57" s="26">
        <f>CR57+CV57</f>
        <v>0</v>
      </c>
      <c r="CY57" s="55">
        <f t="shared" si="191"/>
        <v>-1</v>
      </c>
      <c r="CZ57" s="55">
        <f t="shared" si="191"/>
        <v>-1</v>
      </c>
      <c r="DA57" s="31"/>
      <c r="DB57" s="31"/>
      <c r="DC57" s="26">
        <f>CW57+DA57</f>
        <v>0</v>
      </c>
      <c r="DD57" s="26">
        <f>CX57+DB57</f>
        <v>0</v>
      </c>
      <c r="DE57" s="55">
        <f t="shared" si="192"/>
        <v>-1</v>
      </c>
      <c r="DF57" s="55">
        <f t="shared" si="192"/>
        <v>-1</v>
      </c>
      <c r="DG57" s="31"/>
      <c r="DH57" s="31"/>
      <c r="DI57" s="26">
        <f>DC57+DG57</f>
        <v>0</v>
      </c>
      <c r="DJ57" s="26">
        <f>DD57+DH57</f>
        <v>0</v>
      </c>
      <c r="DK57" s="55">
        <f t="shared" si="193"/>
        <v>-1</v>
      </c>
      <c r="DL57" s="55">
        <f t="shared" si="193"/>
        <v>-1</v>
      </c>
      <c r="DM57" s="31"/>
      <c r="DN57" s="31"/>
      <c r="DO57" s="31"/>
      <c r="DP57" s="31"/>
      <c r="DQ57" s="29"/>
      <c r="DR57" s="31">
        <v>109.4</v>
      </c>
      <c r="DS57" s="55">
        <f>IF($AY$57=0,1,DQ57/$AY$57-1)</f>
        <v>1</v>
      </c>
      <c r="DT57" s="55">
        <f>IF($AZ$57=0,1,DR57/$AZ$57-1)</f>
        <v>0</v>
      </c>
      <c r="DU57" s="55">
        <f>IF($E$57=0,1,DQ57/$E$57-1)</f>
        <v>-1</v>
      </c>
      <c r="DV57" s="55">
        <f>IF($E$57=0,1,DR57/$E$57-1)</f>
        <v>-0.96919871614392705</v>
      </c>
      <c r="DW57" s="25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30" t="s">
        <v>121</v>
      </c>
      <c r="B58" s="231"/>
      <c r="C58" s="29"/>
      <c r="D58" s="31"/>
      <c r="E58" s="26"/>
      <c r="F58" s="31"/>
      <c r="G58" s="31"/>
      <c r="H58" s="31"/>
      <c r="I58" s="31"/>
      <c r="J58" s="31"/>
      <c r="K58" s="26">
        <f t="shared" si="213"/>
        <v>0</v>
      </c>
      <c r="L58" s="26">
        <f t="shared" si="213"/>
        <v>0</v>
      </c>
      <c r="M58" s="31"/>
      <c r="N58" s="31"/>
      <c r="O58" s="26"/>
      <c r="P58" s="26"/>
      <c r="Q58" s="31"/>
      <c r="R58" s="31"/>
      <c r="S58" s="26"/>
      <c r="T58" s="26"/>
      <c r="U58" s="31"/>
      <c r="V58" s="31"/>
      <c r="W58" s="26"/>
      <c r="X58" s="26"/>
      <c r="Y58" s="31"/>
      <c r="Z58" s="31"/>
      <c r="AA58" s="26"/>
      <c r="AB58" s="26"/>
      <c r="AC58" s="31"/>
      <c r="AD58" s="31"/>
      <c r="AE58" s="26"/>
      <c r="AF58" s="26"/>
      <c r="AG58" s="31"/>
      <c r="AH58" s="31"/>
      <c r="AI58" s="26"/>
      <c r="AJ58" s="26"/>
      <c r="AK58" s="31"/>
      <c r="AL58" s="31"/>
      <c r="AM58" s="26"/>
      <c r="AN58" s="26"/>
      <c r="AO58" s="31"/>
      <c r="AP58" s="31"/>
      <c r="AQ58" s="26"/>
      <c r="AR58" s="26"/>
      <c r="AS58" s="31"/>
      <c r="AT58" s="31"/>
      <c r="AU58" s="26"/>
      <c r="AV58" s="26"/>
      <c r="AW58" s="31"/>
      <c r="AX58" s="31"/>
      <c r="AY58" s="31"/>
      <c r="AZ58" s="31"/>
      <c r="BA58" s="55">
        <f t="shared" ref="BA58:BB62" si="247">IF(E58=0,1,AY58/E58-1)</f>
        <v>1</v>
      </c>
      <c r="BB58" s="55">
        <f t="shared" si="247"/>
        <v>1</v>
      </c>
      <c r="BC58" s="31"/>
      <c r="BD58" s="31"/>
      <c r="BE58" s="31"/>
      <c r="BF58" s="31"/>
      <c r="BG58" s="26">
        <f t="shared" si="214"/>
        <v>0</v>
      </c>
      <c r="BH58" s="26">
        <f t="shared" si="214"/>
        <v>0</v>
      </c>
      <c r="BI58" s="55">
        <f t="shared" si="184"/>
        <v>1</v>
      </c>
      <c r="BJ58" s="55">
        <f t="shared" si="184"/>
        <v>1</v>
      </c>
      <c r="BK58" s="31"/>
      <c r="BL58" s="31"/>
      <c r="BM58" s="26"/>
      <c r="BN58" s="26"/>
      <c r="BO58" s="55">
        <f t="shared" si="185"/>
        <v>1</v>
      </c>
      <c r="BP58" s="55">
        <f t="shared" si="185"/>
        <v>1</v>
      </c>
      <c r="BQ58" s="31"/>
      <c r="BR58" s="31"/>
      <c r="BS58" s="26"/>
      <c r="BT58" s="26"/>
      <c r="BU58" s="55">
        <f t="shared" si="186"/>
        <v>1</v>
      </c>
      <c r="BV58" s="55">
        <f t="shared" si="186"/>
        <v>1</v>
      </c>
      <c r="BW58" s="31"/>
      <c r="BX58" s="31"/>
      <c r="BY58" s="26"/>
      <c r="BZ58" s="26"/>
      <c r="CA58" s="55">
        <f t="shared" si="187"/>
        <v>1</v>
      </c>
      <c r="CB58" s="55">
        <f t="shared" si="187"/>
        <v>1</v>
      </c>
      <c r="CC58" s="31"/>
      <c r="CD58" s="31"/>
      <c r="CE58" s="26"/>
      <c r="CF58" s="26"/>
      <c r="CG58" s="55">
        <f t="shared" si="188"/>
        <v>1</v>
      </c>
      <c r="CH58" s="55">
        <f t="shared" si="188"/>
        <v>1</v>
      </c>
      <c r="CI58" s="31"/>
      <c r="CJ58" s="31"/>
      <c r="CK58" s="26"/>
      <c r="CL58" s="26"/>
      <c r="CM58" s="55">
        <f t="shared" si="189"/>
        <v>1</v>
      </c>
      <c r="CN58" s="55">
        <f t="shared" si="189"/>
        <v>1</v>
      </c>
      <c r="CO58" s="31"/>
      <c r="CP58" s="31"/>
      <c r="CQ58" s="26"/>
      <c r="CR58" s="26"/>
      <c r="CS58" s="55">
        <f t="shared" si="190"/>
        <v>1</v>
      </c>
      <c r="CT58" s="55">
        <f t="shared" si="190"/>
        <v>1</v>
      </c>
      <c r="CU58" s="31"/>
      <c r="CV58" s="31"/>
      <c r="CW58" s="26"/>
      <c r="CX58" s="26"/>
      <c r="CY58" s="55">
        <f t="shared" si="191"/>
        <v>1</v>
      </c>
      <c r="CZ58" s="55">
        <f t="shared" si="191"/>
        <v>1</v>
      </c>
      <c r="DA58" s="31"/>
      <c r="DB58" s="31"/>
      <c r="DC58" s="26"/>
      <c r="DD58" s="26"/>
      <c r="DE58" s="55">
        <f t="shared" si="192"/>
        <v>1</v>
      </c>
      <c r="DF58" s="55">
        <f t="shared" si="192"/>
        <v>1</v>
      </c>
      <c r="DG58" s="31"/>
      <c r="DH58" s="31"/>
      <c r="DI58" s="26"/>
      <c r="DJ58" s="26"/>
      <c r="DK58" s="55">
        <f t="shared" si="193"/>
        <v>1</v>
      </c>
      <c r="DL58" s="55">
        <f t="shared" si="193"/>
        <v>1</v>
      </c>
      <c r="DM58" s="31"/>
      <c r="DN58" s="31"/>
      <c r="DO58" s="31"/>
      <c r="DP58" s="31"/>
      <c r="DQ58" s="31"/>
      <c r="DR58" s="31"/>
      <c r="DS58" s="55">
        <f>IF($AY$58=0,1,DQ58/$AY$58-1)</f>
        <v>1</v>
      </c>
      <c r="DT58" s="55">
        <f>IF($AZ$58=0,1,DR58/$AZ$58-1)</f>
        <v>1</v>
      </c>
      <c r="DU58" s="55">
        <f>IF($E$58=0,1,DQ58/$E$58-1)</f>
        <v>1</v>
      </c>
      <c r="DV58" s="55">
        <f>IF($E$58=0,1,DR58/$E$58-1)</f>
        <v>1</v>
      </c>
      <c r="DW58" s="25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30" t="s">
        <v>122</v>
      </c>
      <c r="B59" s="231"/>
      <c r="C59" s="29"/>
      <c r="D59" s="31"/>
      <c r="E59" s="26"/>
      <c r="F59" s="31"/>
      <c r="G59" s="31"/>
      <c r="H59" s="31"/>
      <c r="I59" s="31"/>
      <c r="J59" s="31"/>
      <c r="K59" s="26">
        <f t="shared" si="213"/>
        <v>0</v>
      </c>
      <c r="L59" s="26">
        <f t="shared" si="213"/>
        <v>0</v>
      </c>
      <c r="M59" s="31"/>
      <c r="N59" s="31"/>
      <c r="O59" s="26"/>
      <c r="P59" s="26"/>
      <c r="Q59" s="31"/>
      <c r="R59" s="31"/>
      <c r="S59" s="26"/>
      <c r="T59" s="26"/>
      <c r="U59" s="31"/>
      <c r="V59" s="31"/>
      <c r="W59" s="26"/>
      <c r="X59" s="26"/>
      <c r="Y59" s="31"/>
      <c r="Z59" s="31"/>
      <c r="AA59" s="26"/>
      <c r="AB59" s="26"/>
      <c r="AC59" s="31"/>
      <c r="AD59" s="31"/>
      <c r="AE59" s="26"/>
      <c r="AF59" s="26"/>
      <c r="AG59" s="31"/>
      <c r="AH59" s="31"/>
      <c r="AI59" s="26"/>
      <c r="AJ59" s="26"/>
      <c r="AK59" s="31"/>
      <c r="AL59" s="31"/>
      <c r="AM59" s="26"/>
      <c r="AN59" s="26"/>
      <c r="AO59" s="31"/>
      <c r="AP59" s="31"/>
      <c r="AQ59" s="26"/>
      <c r="AR59" s="26"/>
      <c r="AS59" s="31"/>
      <c r="AT59" s="31"/>
      <c r="AU59" s="26"/>
      <c r="AV59" s="26"/>
      <c r="AW59" s="31"/>
      <c r="AX59" s="31"/>
      <c r="AY59" s="31"/>
      <c r="AZ59" s="31"/>
      <c r="BA59" s="55">
        <f t="shared" si="247"/>
        <v>1</v>
      </c>
      <c r="BB59" s="55">
        <f t="shared" si="247"/>
        <v>1</v>
      </c>
      <c r="BC59" s="31"/>
      <c r="BD59" s="31"/>
      <c r="BE59" s="31"/>
      <c r="BF59" s="31"/>
      <c r="BG59" s="26">
        <f t="shared" si="214"/>
        <v>0</v>
      </c>
      <c r="BH59" s="26">
        <f t="shared" si="214"/>
        <v>0</v>
      </c>
      <c r="BI59" s="55">
        <f t="shared" si="184"/>
        <v>1</v>
      </c>
      <c r="BJ59" s="55">
        <f t="shared" si="184"/>
        <v>1</v>
      </c>
      <c r="BK59" s="31"/>
      <c r="BL59" s="31"/>
      <c r="BM59" s="26"/>
      <c r="BN59" s="26"/>
      <c r="BO59" s="55">
        <f t="shared" si="185"/>
        <v>1</v>
      </c>
      <c r="BP59" s="55">
        <f t="shared" si="185"/>
        <v>1</v>
      </c>
      <c r="BQ59" s="31"/>
      <c r="BR59" s="31"/>
      <c r="BS59" s="26"/>
      <c r="BT59" s="26"/>
      <c r="BU59" s="55">
        <f t="shared" si="186"/>
        <v>1</v>
      </c>
      <c r="BV59" s="55">
        <f t="shared" si="186"/>
        <v>1</v>
      </c>
      <c r="BW59" s="31"/>
      <c r="BX59" s="31"/>
      <c r="BY59" s="26"/>
      <c r="BZ59" s="26"/>
      <c r="CA59" s="55">
        <f t="shared" si="187"/>
        <v>1</v>
      </c>
      <c r="CB59" s="55">
        <f t="shared" si="187"/>
        <v>1</v>
      </c>
      <c r="CC59" s="31"/>
      <c r="CD59" s="31"/>
      <c r="CE59" s="26"/>
      <c r="CF59" s="26"/>
      <c r="CG59" s="55">
        <f t="shared" si="188"/>
        <v>1</v>
      </c>
      <c r="CH59" s="55">
        <f t="shared" si="188"/>
        <v>1</v>
      </c>
      <c r="CI59" s="31"/>
      <c r="CJ59" s="31"/>
      <c r="CK59" s="26"/>
      <c r="CL59" s="26"/>
      <c r="CM59" s="55">
        <f t="shared" si="189"/>
        <v>1</v>
      </c>
      <c r="CN59" s="55">
        <f t="shared" si="189"/>
        <v>1</v>
      </c>
      <c r="CO59" s="31"/>
      <c r="CP59" s="31"/>
      <c r="CQ59" s="26"/>
      <c r="CR59" s="26"/>
      <c r="CS59" s="55">
        <f t="shared" si="190"/>
        <v>1</v>
      </c>
      <c r="CT59" s="55">
        <f t="shared" si="190"/>
        <v>1</v>
      </c>
      <c r="CU59" s="31"/>
      <c r="CV59" s="31"/>
      <c r="CW59" s="26"/>
      <c r="CX59" s="26"/>
      <c r="CY59" s="55">
        <f t="shared" si="191"/>
        <v>1</v>
      </c>
      <c r="CZ59" s="55">
        <f t="shared" si="191"/>
        <v>1</v>
      </c>
      <c r="DA59" s="31"/>
      <c r="DB59" s="31"/>
      <c r="DC59" s="26"/>
      <c r="DD59" s="26"/>
      <c r="DE59" s="55">
        <f t="shared" si="192"/>
        <v>1</v>
      </c>
      <c r="DF59" s="55">
        <f t="shared" si="192"/>
        <v>1</v>
      </c>
      <c r="DG59" s="31"/>
      <c r="DH59" s="31"/>
      <c r="DI59" s="26"/>
      <c r="DJ59" s="26"/>
      <c r="DK59" s="55">
        <f t="shared" si="193"/>
        <v>1</v>
      </c>
      <c r="DL59" s="55">
        <f t="shared" si="193"/>
        <v>1</v>
      </c>
      <c r="DM59" s="31"/>
      <c r="DN59" s="31"/>
      <c r="DO59" s="31"/>
      <c r="DP59" s="31"/>
      <c r="DQ59" s="31"/>
      <c r="DR59" s="31"/>
      <c r="DS59" s="55">
        <f>IF($AY$59=0,1,DQ59/$AY$59-1)</f>
        <v>1</v>
      </c>
      <c r="DT59" s="55">
        <f>IF($AZ$59=0,1,DR59/$AZ$59-1)</f>
        <v>1</v>
      </c>
      <c r="DU59" s="55">
        <f>IF($E$59=0,1,DQ59/$E$59-1)</f>
        <v>1</v>
      </c>
      <c r="DV59" s="55">
        <f>IF($E$59=0,1,DR59/$E$59-1)</f>
        <v>1</v>
      </c>
      <c r="DW59" s="25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30" t="s">
        <v>123</v>
      </c>
      <c r="B60" s="231"/>
      <c r="C60" s="31">
        <f>'[1]прогноз '!B54</f>
        <v>0</v>
      </c>
      <c r="D60" s="31">
        <f>'[1]прогноз '!C54</f>
        <v>1162</v>
      </c>
      <c r="E60" s="31">
        <v>3113</v>
      </c>
      <c r="F60" s="31">
        <f>H60+J60+N60+R60+V60+Z60+AD60+AH60+AL60+AP60+AT60+AX60</f>
        <v>2712</v>
      </c>
      <c r="G60" s="31">
        <f>179.5+H60</f>
        <v>182.9</v>
      </c>
      <c r="H60" s="31">
        <v>3.4</v>
      </c>
      <c r="I60" s="31">
        <f>80.9+J60</f>
        <v>167.4</v>
      </c>
      <c r="J60" s="31">
        <v>86.5</v>
      </c>
      <c r="K60" s="26">
        <f>G60+I60</f>
        <v>350.3</v>
      </c>
      <c r="L60" s="26">
        <f>H60+J60</f>
        <v>89.9</v>
      </c>
      <c r="M60" s="31">
        <f>299.5+N60</f>
        <v>277.10000000000002</v>
      </c>
      <c r="N60" s="31">
        <v>-22.4</v>
      </c>
      <c r="O60" s="26">
        <f>K60+M60</f>
        <v>627.40000000000009</v>
      </c>
      <c r="P60" s="26">
        <f>L60+N60</f>
        <v>67.5</v>
      </c>
      <c r="Q60" s="31">
        <f>132.4+R60</f>
        <v>314.89999999999998</v>
      </c>
      <c r="R60" s="31">
        <v>182.5</v>
      </c>
      <c r="S60" s="26">
        <f>O60+Q60</f>
        <v>942.30000000000007</v>
      </c>
      <c r="T60" s="26">
        <f>P60+R60</f>
        <v>250</v>
      </c>
      <c r="U60" s="31">
        <f>429.3+V60</f>
        <v>677.6</v>
      </c>
      <c r="V60" s="31">
        <v>248.3</v>
      </c>
      <c r="W60" s="26">
        <f>S60+U60</f>
        <v>1619.9</v>
      </c>
      <c r="X60" s="26">
        <f>T60+V60</f>
        <v>498.3</v>
      </c>
      <c r="Y60" s="31">
        <f>283.1+Z60</f>
        <v>490</v>
      </c>
      <c r="Z60" s="31">
        <v>206.9</v>
      </c>
      <c r="AA60" s="26">
        <f>W60+Y60</f>
        <v>2109.9</v>
      </c>
      <c r="AB60" s="26">
        <f>X60+Z60</f>
        <v>705.2</v>
      </c>
      <c r="AC60" s="31">
        <v>-304.89999999999998</v>
      </c>
      <c r="AD60" s="31">
        <v>-40.299999999999997</v>
      </c>
      <c r="AE60" s="26">
        <f>AA60+AC60</f>
        <v>1805</v>
      </c>
      <c r="AF60" s="26">
        <f>AB60+AD60</f>
        <v>664.90000000000009</v>
      </c>
      <c r="AG60" s="31">
        <v>718.1</v>
      </c>
      <c r="AH60" s="31">
        <v>-16.2</v>
      </c>
      <c r="AI60" s="26">
        <f>AE60+AG60</f>
        <v>2523.1</v>
      </c>
      <c r="AJ60" s="26">
        <f>AF60+AH60</f>
        <v>648.70000000000005</v>
      </c>
      <c r="AK60" s="31">
        <v>2157</v>
      </c>
      <c r="AL60" s="31">
        <v>1654.6</v>
      </c>
      <c r="AM60" s="26">
        <f>AI60+AK60</f>
        <v>4680.1000000000004</v>
      </c>
      <c r="AN60" s="26">
        <f>AJ60+AL60</f>
        <v>2303.3000000000002</v>
      </c>
      <c r="AO60" s="31">
        <v>481.3</v>
      </c>
      <c r="AP60" s="31">
        <v>65.599999999999994</v>
      </c>
      <c r="AQ60" s="26">
        <f>AM60+AO60</f>
        <v>5161.4000000000005</v>
      </c>
      <c r="AR60" s="26">
        <f>AN60+AP60</f>
        <v>2368.9</v>
      </c>
      <c r="AS60" s="31">
        <f>295.7+AT60</f>
        <v>416.6</v>
      </c>
      <c r="AT60" s="31">
        <v>120.9</v>
      </c>
      <c r="AU60" s="26">
        <f>AQ60+AS60</f>
        <v>5578.0000000000009</v>
      </c>
      <c r="AV60" s="26">
        <f>AR60+AT60</f>
        <v>2489.8000000000002</v>
      </c>
      <c r="AW60" s="31">
        <f>68.8+AX60</f>
        <v>291</v>
      </c>
      <c r="AX60" s="31">
        <v>222.2</v>
      </c>
      <c r="AY60" s="31"/>
      <c r="AZ60" s="31">
        <v>3296</v>
      </c>
      <c r="BA60" s="55">
        <f>IF(E60=0,1,AY60/E60-1)</f>
        <v>-1</v>
      </c>
      <c r="BB60" s="55">
        <f>IF(F60=0,1,AZ60/F60-1)</f>
        <v>0.21533923303834812</v>
      </c>
      <c r="BC60" s="31">
        <v>0</v>
      </c>
      <c r="BD60" s="31">
        <v>-23.2</v>
      </c>
      <c r="BE60" s="31">
        <v>0</v>
      </c>
      <c r="BF60" s="31">
        <v>-31.5</v>
      </c>
      <c r="BG60" s="26">
        <f>BC60+BE60</f>
        <v>0</v>
      </c>
      <c r="BH60" s="26">
        <f>BD60+BF60</f>
        <v>-54.7</v>
      </c>
      <c r="BI60" s="55">
        <f>IF(K60=0,1,BG60/K60-1)</f>
        <v>-1</v>
      </c>
      <c r="BJ60" s="55">
        <f>IF(L60=0,1,BH60/L60-1)</f>
        <v>-1.6084538375973305</v>
      </c>
      <c r="BK60" s="31">
        <v>0</v>
      </c>
      <c r="BL60" s="31">
        <v>0</v>
      </c>
      <c r="BM60" s="26">
        <f>BG60+BK60</f>
        <v>0</v>
      </c>
      <c r="BN60" s="26">
        <f>BH60+BL60</f>
        <v>-54.7</v>
      </c>
      <c r="BO60" s="55">
        <f>IF(O60=0,1,BM60/O60-1)</f>
        <v>-1</v>
      </c>
      <c r="BP60" s="55">
        <f>IF(P60=0,1,BN60/P60-1)</f>
        <v>-1.8103703703703704</v>
      </c>
      <c r="BQ60" s="31"/>
      <c r="BR60" s="31"/>
      <c r="BS60" s="26">
        <f>BM60+BQ60</f>
        <v>0</v>
      </c>
      <c r="BT60" s="26">
        <f>BN60+BR60</f>
        <v>-54.7</v>
      </c>
      <c r="BU60" s="55">
        <f>IF(S60=0,1,BS60/S60-1)</f>
        <v>-1</v>
      </c>
      <c r="BV60" s="55">
        <f>IF(T60=0,1,BT60/T60-1)</f>
        <v>-1.2188000000000001</v>
      </c>
      <c r="BW60" s="31"/>
      <c r="BX60" s="31"/>
      <c r="BY60" s="26">
        <f>BS60+BW60</f>
        <v>0</v>
      </c>
      <c r="BZ60" s="26">
        <f>BT60+BX60</f>
        <v>-54.7</v>
      </c>
      <c r="CA60" s="55">
        <f>IF(W60=0,1,BY60/W60-1)</f>
        <v>-1</v>
      </c>
      <c r="CB60" s="55">
        <f>IF(X60=0,1,BZ60/X60-1)</f>
        <v>-1.1097732289785269</v>
      </c>
      <c r="CC60" s="31"/>
      <c r="CD60" s="31"/>
      <c r="CE60" s="26">
        <f>BY60+CC60</f>
        <v>0</v>
      </c>
      <c r="CF60" s="26">
        <f>BZ60+CD60</f>
        <v>-54.7</v>
      </c>
      <c r="CG60" s="55">
        <f>IF(AA60=0,1,CE60/AA60-1)</f>
        <v>-1</v>
      </c>
      <c r="CH60" s="55">
        <f>IF(AB60=0,1,CF60/AB60-1)</f>
        <v>-1.077566647759501</v>
      </c>
      <c r="CI60" s="31"/>
      <c r="CJ60" s="31"/>
      <c r="CK60" s="26">
        <f>CE60+CI60</f>
        <v>0</v>
      </c>
      <c r="CL60" s="26">
        <f>CF60+CJ60</f>
        <v>-54.7</v>
      </c>
      <c r="CM60" s="55">
        <f>IF(AE60=0,1,CK60/AE60-1)</f>
        <v>-1</v>
      </c>
      <c r="CN60" s="55">
        <f>IF(AF60=0,1,CL60/AF60-1)</f>
        <v>-1.0822680102271018</v>
      </c>
      <c r="CO60" s="31"/>
      <c r="CP60" s="31"/>
      <c r="CQ60" s="26">
        <f>CK60+CO60</f>
        <v>0</v>
      </c>
      <c r="CR60" s="26">
        <f>CL60+CP60</f>
        <v>-54.7</v>
      </c>
      <c r="CS60" s="55">
        <f>IF(AI60=0,1,CQ60/AI60-1)</f>
        <v>-1</v>
      </c>
      <c r="CT60" s="55">
        <f>IF(AJ60=0,1,CR60/AJ60-1)</f>
        <v>-1.0843224911361184</v>
      </c>
      <c r="CU60" s="31"/>
      <c r="CV60" s="31"/>
      <c r="CW60" s="26">
        <f>CQ60+CU60</f>
        <v>0</v>
      </c>
      <c r="CX60" s="26">
        <f>CR60+CV60</f>
        <v>-54.7</v>
      </c>
      <c r="CY60" s="55">
        <f>IF(AM60=0,1,CW60/AM60-1)</f>
        <v>-1</v>
      </c>
      <c r="CZ60" s="55">
        <f>IF(AN60=0,1,CX60/AN60-1)</f>
        <v>-1.0237485347110666</v>
      </c>
      <c r="DA60" s="31"/>
      <c r="DB60" s="31"/>
      <c r="DC60" s="26">
        <f>CW60+DA60</f>
        <v>0</v>
      </c>
      <c r="DD60" s="26">
        <f>CX60+DB60</f>
        <v>-54.7</v>
      </c>
      <c r="DE60" s="55">
        <f>IF(AQ60=0,1,DC60/AQ60-1)</f>
        <v>-1</v>
      </c>
      <c r="DF60" s="55">
        <f>IF(AR60=0,1,DD60/AR60-1)</f>
        <v>-1.0230908860652623</v>
      </c>
      <c r="DG60" s="31"/>
      <c r="DH60" s="31"/>
      <c r="DI60" s="26">
        <f>DC60+DG60</f>
        <v>0</v>
      </c>
      <c r="DJ60" s="26">
        <f>DD60+DH60</f>
        <v>-54.7</v>
      </c>
      <c r="DK60" s="55">
        <f>IF(AU60=0,1,DI60/AU60-1)</f>
        <v>-1</v>
      </c>
      <c r="DL60" s="55">
        <f>IF(AV60=0,1,DJ60/AV60-1)</f>
        <v>-1.0219696361153505</v>
      </c>
      <c r="DM60" s="31"/>
      <c r="DN60" s="31"/>
      <c r="DO60" s="31"/>
      <c r="DP60" s="31"/>
      <c r="DQ60" s="29"/>
      <c r="DR60" s="31">
        <v>3296</v>
      </c>
      <c r="DS60" s="55">
        <f>IF($AY$60=0,1,DQ60/$AY$60-1)</f>
        <v>1</v>
      </c>
      <c r="DT60" s="55">
        <f>IF($AZ$60=0,1,DR60/$AZ$60-1)</f>
        <v>0</v>
      </c>
      <c r="DU60" s="55">
        <f>IF($E$60=0,1,DQ60/$E$60-1)</f>
        <v>-1</v>
      </c>
      <c r="DV60" s="55">
        <f>IF($E$60=0,1,DR60/$E$60-1)</f>
        <v>5.8785737230966806E-2</v>
      </c>
      <c r="DW60" s="25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30" t="s">
        <v>124</v>
      </c>
      <c r="B61" s="231"/>
      <c r="C61" s="29"/>
      <c r="D61" s="31"/>
      <c r="E61" s="26"/>
      <c r="F61" s="31"/>
      <c r="G61" s="31"/>
      <c r="H61" s="31"/>
      <c r="I61" s="31"/>
      <c r="J61" s="31"/>
      <c r="K61" s="26">
        <f t="shared" si="213"/>
        <v>0</v>
      </c>
      <c r="L61" s="26">
        <f t="shared" si="213"/>
        <v>0</v>
      </c>
      <c r="M61" s="31"/>
      <c r="N61" s="31"/>
      <c r="O61" s="26"/>
      <c r="P61" s="26"/>
      <c r="Q61" s="31"/>
      <c r="R61" s="31"/>
      <c r="S61" s="26"/>
      <c r="T61" s="26"/>
      <c r="U61" s="31"/>
      <c r="V61" s="31"/>
      <c r="W61" s="26"/>
      <c r="X61" s="26"/>
      <c r="Y61" s="31"/>
      <c r="Z61" s="31"/>
      <c r="AA61" s="26"/>
      <c r="AB61" s="26"/>
      <c r="AC61" s="31"/>
      <c r="AD61" s="31"/>
      <c r="AE61" s="26"/>
      <c r="AF61" s="26"/>
      <c r="AG61" s="31"/>
      <c r="AH61" s="31"/>
      <c r="AI61" s="26"/>
      <c r="AJ61" s="26"/>
      <c r="AK61" s="31"/>
      <c r="AL61" s="31"/>
      <c r="AM61" s="26"/>
      <c r="AN61" s="26"/>
      <c r="AO61" s="31"/>
      <c r="AP61" s="31"/>
      <c r="AQ61" s="26"/>
      <c r="AR61" s="26"/>
      <c r="AS61" s="31"/>
      <c r="AT61" s="31"/>
      <c r="AU61" s="26"/>
      <c r="AV61" s="26"/>
      <c r="AW61" s="31"/>
      <c r="AX61" s="31"/>
      <c r="AY61" s="31"/>
      <c r="AZ61" s="31"/>
      <c r="BA61" s="55">
        <f t="shared" si="247"/>
        <v>1</v>
      </c>
      <c r="BB61" s="55">
        <f t="shared" si="247"/>
        <v>1</v>
      </c>
      <c r="BC61" s="31"/>
      <c r="BD61" s="31"/>
      <c r="BE61" s="31"/>
      <c r="BF61" s="31"/>
      <c r="BG61" s="26">
        <f t="shared" si="214"/>
        <v>0</v>
      </c>
      <c r="BH61" s="26">
        <f t="shared" si="214"/>
        <v>0</v>
      </c>
      <c r="BI61" s="55">
        <f t="shared" si="184"/>
        <v>1</v>
      </c>
      <c r="BJ61" s="55">
        <f t="shared" si="184"/>
        <v>1</v>
      </c>
      <c r="BK61" s="31"/>
      <c r="BL61" s="31"/>
      <c r="BM61" s="26"/>
      <c r="BN61" s="26"/>
      <c r="BO61" s="55">
        <f t="shared" si="185"/>
        <v>1</v>
      </c>
      <c r="BP61" s="55">
        <f t="shared" si="185"/>
        <v>1</v>
      </c>
      <c r="BQ61" s="31"/>
      <c r="BR61" s="31"/>
      <c r="BS61" s="26"/>
      <c r="BT61" s="26"/>
      <c r="BU61" s="55">
        <f t="shared" si="186"/>
        <v>1</v>
      </c>
      <c r="BV61" s="55">
        <f t="shared" si="186"/>
        <v>1</v>
      </c>
      <c r="BW61" s="31"/>
      <c r="BX61" s="31"/>
      <c r="BY61" s="26"/>
      <c r="BZ61" s="26"/>
      <c r="CA61" s="55">
        <f t="shared" si="187"/>
        <v>1</v>
      </c>
      <c r="CB61" s="55">
        <f t="shared" si="187"/>
        <v>1</v>
      </c>
      <c r="CC61" s="31"/>
      <c r="CD61" s="31"/>
      <c r="CE61" s="26"/>
      <c r="CF61" s="26"/>
      <c r="CG61" s="55">
        <f t="shared" si="188"/>
        <v>1</v>
      </c>
      <c r="CH61" s="55">
        <f t="shared" si="188"/>
        <v>1</v>
      </c>
      <c r="CI61" s="31"/>
      <c r="CJ61" s="31"/>
      <c r="CK61" s="26"/>
      <c r="CL61" s="26"/>
      <c r="CM61" s="55">
        <f t="shared" si="189"/>
        <v>1</v>
      </c>
      <c r="CN61" s="55">
        <f t="shared" si="189"/>
        <v>1</v>
      </c>
      <c r="CO61" s="31"/>
      <c r="CP61" s="31"/>
      <c r="CQ61" s="26"/>
      <c r="CR61" s="26"/>
      <c r="CS61" s="55">
        <f t="shared" si="190"/>
        <v>1</v>
      </c>
      <c r="CT61" s="55">
        <f t="shared" si="190"/>
        <v>1</v>
      </c>
      <c r="CU61" s="31"/>
      <c r="CV61" s="31"/>
      <c r="CW61" s="26"/>
      <c r="CX61" s="26"/>
      <c r="CY61" s="55">
        <f t="shared" si="191"/>
        <v>1</v>
      </c>
      <c r="CZ61" s="55">
        <f t="shared" si="191"/>
        <v>1</v>
      </c>
      <c r="DA61" s="31"/>
      <c r="DB61" s="31"/>
      <c r="DC61" s="26"/>
      <c r="DD61" s="26"/>
      <c r="DE61" s="55">
        <f t="shared" si="192"/>
        <v>1</v>
      </c>
      <c r="DF61" s="55">
        <f t="shared" si="192"/>
        <v>1</v>
      </c>
      <c r="DG61" s="31"/>
      <c r="DH61" s="31"/>
      <c r="DI61" s="26"/>
      <c r="DJ61" s="26"/>
      <c r="DK61" s="55">
        <f t="shared" si="193"/>
        <v>1</v>
      </c>
      <c r="DL61" s="55">
        <f t="shared" si="193"/>
        <v>1</v>
      </c>
      <c r="DM61" s="31"/>
      <c r="DN61" s="31"/>
      <c r="DO61" s="31"/>
      <c r="DP61" s="31"/>
      <c r="DQ61" s="31"/>
      <c r="DR61" s="31"/>
      <c r="DS61" s="55">
        <f>IF($AY$61=0,1,DQ61/$AY$61-1)</f>
        <v>1</v>
      </c>
      <c r="DT61" s="55">
        <f>IF($AZ$61=0,1,DR61/$AZ$61-1)</f>
        <v>1</v>
      </c>
      <c r="DU61" s="55">
        <f>IF($E$61=0,1,DQ61/$E$61-1)</f>
        <v>1</v>
      </c>
      <c r="DV61" s="55">
        <f>IF($E$61=0,1,DR61/$E$61-1)</f>
        <v>1</v>
      </c>
      <c r="DW61" s="25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.75" customHeight="1">
      <c r="A62" s="230" t="s">
        <v>133</v>
      </c>
      <c r="B62" s="231"/>
      <c r="C62" s="29"/>
      <c r="D62" s="31"/>
      <c r="E62" s="26"/>
      <c r="F62" s="31"/>
      <c r="G62" s="31"/>
      <c r="H62" s="31"/>
      <c r="I62" s="31"/>
      <c r="J62" s="31"/>
      <c r="K62" s="26">
        <f t="shared" ref="K62:L62" si="248">G62+I62</f>
        <v>0</v>
      </c>
      <c r="L62" s="26">
        <f t="shared" si="248"/>
        <v>0</v>
      </c>
      <c r="M62" s="31"/>
      <c r="N62" s="31"/>
      <c r="O62" s="26"/>
      <c r="P62" s="26"/>
      <c r="Q62" s="31"/>
      <c r="R62" s="31"/>
      <c r="S62" s="26"/>
      <c r="T62" s="26"/>
      <c r="U62" s="31"/>
      <c r="V62" s="31"/>
      <c r="W62" s="26"/>
      <c r="X62" s="26"/>
      <c r="Y62" s="31"/>
      <c r="Z62" s="31"/>
      <c r="AA62" s="26"/>
      <c r="AB62" s="26"/>
      <c r="AC62" s="31"/>
      <c r="AD62" s="31"/>
      <c r="AE62" s="26"/>
      <c r="AF62" s="26"/>
      <c r="AG62" s="31"/>
      <c r="AH62" s="31"/>
      <c r="AI62" s="26"/>
      <c r="AJ62" s="26"/>
      <c r="AK62" s="31"/>
      <c r="AL62" s="31"/>
      <c r="AM62" s="26"/>
      <c r="AN62" s="26"/>
      <c r="AO62" s="31"/>
      <c r="AP62" s="31"/>
      <c r="AQ62" s="26"/>
      <c r="AR62" s="26"/>
      <c r="AS62" s="31"/>
      <c r="AT62" s="31"/>
      <c r="AU62" s="26"/>
      <c r="AV62" s="26"/>
      <c r="AW62" s="31"/>
      <c r="AX62" s="31"/>
      <c r="AY62" s="31"/>
      <c r="AZ62" s="31"/>
      <c r="BA62" s="55">
        <f t="shared" si="247"/>
        <v>1</v>
      </c>
      <c r="BB62" s="55">
        <f t="shared" si="247"/>
        <v>1</v>
      </c>
      <c r="BC62" s="31"/>
      <c r="BD62" s="31"/>
      <c r="BE62" s="31"/>
      <c r="BF62" s="31"/>
      <c r="BG62" s="26">
        <f t="shared" ref="BG62:BH62" si="249">BC62+BE62</f>
        <v>0</v>
      </c>
      <c r="BH62" s="26">
        <f t="shared" si="249"/>
        <v>0</v>
      </c>
      <c r="BI62" s="55">
        <f t="shared" ref="BI62:BJ62" si="250">IF(K62=0,1,BG62/K62-1)</f>
        <v>1</v>
      </c>
      <c r="BJ62" s="55">
        <f t="shared" si="250"/>
        <v>1</v>
      </c>
      <c r="BK62" s="31"/>
      <c r="BL62" s="31"/>
      <c r="BM62" s="26"/>
      <c r="BN62" s="26"/>
      <c r="BO62" s="55">
        <f t="shared" ref="BO62:BP62" si="251">IF(O62=0,1,BM62/O62-1)</f>
        <v>1</v>
      </c>
      <c r="BP62" s="55">
        <f t="shared" si="251"/>
        <v>1</v>
      </c>
      <c r="BQ62" s="31"/>
      <c r="BR62" s="31"/>
      <c r="BS62" s="26"/>
      <c r="BT62" s="26"/>
      <c r="BU62" s="55">
        <f t="shared" ref="BU62:BV62" si="252">IF(S62=0,1,BS62/S62-1)</f>
        <v>1</v>
      </c>
      <c r="BV62" s="55">
        <f t="shared" si="252"/>
        <v>1</v>
      </c>
      <c r="BW62" s="31"/>
      <c r="BX62" s="31"/>
      <c r="BY62" s="26"/>
      <c r="BZ62" s="26"/>
      <c r="CA62" s="55">
        <f t="shared" ref="CA62:CB62" si="253">IF(W62=0,1,BY62/W62-1)</f>
        <v>1</v>
      </c>
      <c r="CB62" s="55">
        <f t="shared" si="253"/>
        <v>1</v>
      </c>
      <c r="CC62" s="31"/>
      <c r="CD62" s="31"/>
      <c r="CE62" s="26"/>
      <c r="CF62" s="26"/>
      <c r="CG62" s="55">
        <f t="shared" ref="CG62:CH62" si="254">IF(AA62=0,1,CE62/AA62-1)</f>
        <v>1</v>
      </c>
      <c r="CH62" s="55">
        <f t="shared" si="254"/>
        <v>1</v>
      </c>
      <c r="CI62" s="31"/>
      <c r="CJ62" s="31"/>
      <c r="CK62" s="26"/>
      <c r="CL62" s="26"/>
      <c r="CM62" s="55">
        <f t="shared" ref="CM62:CN62" si="255">IF(AE62=0,1,CK62/AE62-1)</f>
        <v>1</v>
      </c>
      <c r="CN62" s="55">
        <f t="shared" si="255"/>
        <v>1</v>
      </c>
      <c r="CO62" s="31"/>
      <c r="CP62" s="31"/>
      <c r="CQ62" s="26"/>
      <c r="CR62" s="26"/>
      <c r="CS62" s="55">
        <f t="shared" ref="CS62:CT62" si="256">IF(AI62=0,1,CQ62/AI62-1)</f>
        <v>1</v>
      </c>
      <c r="CT62" s="55">
        <f t="shared" si="256"/>
        <v>1</v>
      </c>
      <c r="CU62" s="31"/>
      <c r="CV62" s="31"/>
      <c r="CW62" s="26"/>
      <c r="CX62" s="26"/>
      <c r="CY62" s="55">
        <f t="shared" ref="CY62:CZ62" si="257">IF(AM62=0,1,CW62/AM62-1)</f>
        <v>1</v>
      </c>
      <c r="CZ62" s="55">
        <f t="shared" si="257"/>
        <v>1</v>
      </c>
      <c r="DA62" s="31"/>
      <c r="DB62" s="31"/>
      <c r="DC62" s="26"/>
      <c r="DD62" s="26"/>
      <c r="DE62" s="55">
        <f t="shared" ref="DE62:DF62" si="258">IF(AQ62=0,1,DC62/AQ62-1)</f>
        <v>1</v>
      </c>
      <c r="DF62" s="55">
        <f t="shared" si="258"/>
        <v>1</v>
      </c>
      <c r="DG62" s="31"/>
      <c r="DH62" s="31"/>
      <c r="DI62" s="26"/>
      <c r="DJ62" s="26"/>
      <c r="DK62" s="55">
        <f t="shared" ref="DK62:DL62" si="259">IF(AU62=0,1,DI62/AU62-1)</f>
        <v>1</v>
      </c>
      <c r="DL62" s="55">
        <f t="shared" si="259"/>
        <v>1</v>
      </c>
      <c r="DM62" s="31"/>
      <c r="DN62" s="31"/>
      <c r="DO62" s="31"/>
      <c r="DP62" s="31"/>
      <c r="DQ62" s="31"/>
      <c r="DR62" s="31"/>
      <c r="DS62" s="55">
        <f>IF($AY$62=0,1,DQ62/$AY$62-1)</f>
        <v>1</v>
      </c>
      <c r="DT62" s="55">
        <f>IF($AZ$62=0,1,DR62/$AZ$62-1)</f>
        <v>1</v>
      </c>
      <c r="DU62" s="55">
        <f>IF($E$62=0,1,DQ62/$E$62-1)</f>
        <v>1</v>
      </c>
      <c r="DV62" s="55">
        <f>IF($E$62=0,1,DR62/$E$62-1)</f>
        <v>1</v>
      </c>
      <c r="DW62" s="25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72" customFormat="1" ht="16.5">
      <c r="A63" s="224" t="s">
        <v>50</v>
      </c>
      <c r="B63" s="225"/>
      <c r="C63" s="17">
        <f>C8-C36</f>
        <v>557059.40000000014</v>
      </c>
      <c r="D63" s="17">
        <f t="shared" ref="D63:AY63" si="260">D8-D36</f>
        <v>56308.650000000023</v>
      </c>
      <c r="E63" s="17">
        <f t="shared" si="260"/>
        <v>153311.69999999995</v>
      </c>
      <c r="F63" s="17">
        <f t="shared" si="260"/>
        <v>27959.300000000163</v>
      </c>
      <c r="G63" s="17">
        <f t="shared" si="260"/>
        <v>8921</v>
      </c>
      <c r="H63" s="17">
        <f t="shared" si="260"/>
        <v>8725.2999999999956</v>
      </c>
      <c r="I63" s="17">
        <f t="shared" si="260"/>
        <v>22977.199999999997</v>
      </c>
      <c r="J63" s="17">
        <f t="shared" si="260"/>
        <v>20169.69999999999</v>
      </c>
      <c r="K63" s="17">
        <f t="shared" si="260"/>
        <v>31898.199999999983</v>
      </c>
      <c r="L63" s="17">
        <f t="shared" si="260"/>
        <v>28895</v>
      </c>
      <c r="M63" s="17">
        <f t="shared" si="260"/>
        <v>1366.3999999999942</v>
      </c>
      <c r="N63" s="17">
        <f t="shared" si="260"/>
        <v>598.79999999998836</v>
      </c>
      <c r="O63" s="17">
        <f t="shared" si="260"/>
        <v>33264.599999999977</v>
      </c>
      <c r="P63" s="17">
        <f t="shared" si="260"/>
        <v>29493.799999999988</v>
      </c>
      <c r="Q63" s="17">
        <f t="shared" si="260"/>
        <v>5437</v>
      </c>
      <c r="R63" s="17">
        <f t="shared" si="260"/>
        <v>8043.010000000002</v>
      </c>
      <c r="S63" s="17">
        <f t="shared" si="260"/>
        <v>38701.600000000064</v>
      </c>
      <c r="T63" s="17">
        <f t="shared" si="260"/>
        <v>37536.810000000027</v>
      </c>
      <c r="U63" s="17">
        <f t="shared" si="260"/>
        <v>13199.600000000013</v>
      </c>
      <c r="V63" s="17">
        <f t="shared" si="260"/>
        <v>6683.5999999999913</v>
      </c>
      <c r="W63" s="17">
        <f t="shared" si="260"/>
        <v>51901.20000000007</v>
      </c>
      <c r="X63" s="17">
        <f t="shared" si="260"/>
        <v>44220.410000000033</v>
      </c>
      <c r="Y63" s="17">
        <f t="shared" si="260"/>
        <v>3069.8999999999942</v>
      </c>
      <c r="Z63" s="17">
        <f t="shared" si="260"/>
        <v>-3995</v>
      </c>
      <c r="AA63" s="17">
        <f t="shared" si="260"/>
        <v>54971.099999999977</v>
      </c>
      <c r="AB63" s="17">
        <f t="shared" si="260"/>
        <v>40225.410000000033</v>
      </c>
      <c r="AC63" s="17">
        <f t="shared" si="260"/>
        <v>-1462.5999999999913</v>
      </c>
      <c r="AD63" s="17">
        <f t="shared" si="260"/>
        <v>-2928.6999999999898</v>
      </c>
      <c r="AE63" s="17">
        <f t="shared" si="260"/>
        <v>53508.500000000116</v>
      </c>
      <c r="AF63" s="17">
        <f t="shared" si="260"/>
        <v>37296.710000000021</v>
      </c>
      <c r="AG63" s="17">
        <f t="shared" si="260"/>
        <v>-1444.1999999999825</v>
      </c>
      <c r="AH63" s="17">
        <f t="shared" si="260"/>
        <v>-3885.7100000000064</v>
      </c>
      <c r="AI63" s="17">
        <f t="shared" si="260"/>
        <v>52064.300000000105</v>
      </c>
      <c r="AJ63" s="17">
        <f t="shared" si="260"/>
        <v>33410.999999999942</v>
      </c>
      <c r="AK63" s="17">
        <f t="shared" si="260"/>
        <v>3879.0999999999694</v>
      </c>
      <c r="AL63" s="17">
        <f t="shared" si="260"/>
        <v>4824.2000000000189</v>
      </c>
      <c r="AM63" s="17">
        <f t="shared" si="260"/>
        <v>55943.40000000014</v>
      </c>
      <c r="AN63" s="17">
        <f t="shared" si="260"/>
        <v>38235.20000000007</v>
      </c>
      <c r="AO63" s="17">
        <f t="shared" si="260"/>
        <v>8144.0000000000291</v>
      </c>
      <c r="AP63" s="17">
        <f t="shared" si="260"/>
        <v>3945.3000000000466</v>
      </c>
      <c r="AQ63" s="17">
        <f t="shared" si="260"/>
        <v>64087.40000000014</v>
      </c>
      <c r="AR63" s="17">
        <f t="shared" si="260"/>
        <v>42180.5</v>
      </c>
      <c r="AS63" s="17">
        <f t="shared" si="260"/>
        <v>38859.300000000003</v>
      </c>
      <c r="AT63" s="17">
        <f t="shared" si="260"/>
        <v>20.899999999994179</v>
      </c>
      <c r="AU63" s="17">
        <f t="shared" si="260"/>
        <v>102946.69999999995</v>
      </c>
      <c r="AV63" s="17">
        <f t="shared" si="260"/>
        <v>42201.400000000023</v>
      </c>
      <c r="AW63" s="17">
        <f t="shared" si="260"/>
        <v>40046</v>
      </c>
      <c r="AX63" s="17">
        <f t="shared" si="260"/>
        <v>-14242.100000000006</v>
      </c>
      <c r="AY63" s="17">
        <f t="shared" si="260"/>
        <v>174222.40000000002</v>
      </c>
      <c r="AZ63" s="17">
        <f>AZ8-AZ36</f>
        <v>77157.400000000023</v>
      </c>
      <c r="BA63" s="20" t="s">
        <v>51</v>
      </c>
      <c r="BB63" s="20" t="s">
        <v>51</v>
      </c>
      <c r="BC63" s="17">
        <f t="shared" ref="BC63:DN63" si="261">BC8-BC36</f>
        <v>10365.599999999999</v>
      </c>
      <c r="BD63" s="17">
        <f t="shared" si="261"/>
        <v>5008.1999999999971</v>
      </c>
      <c r="BE63" s="17">
        <f t="shared" si="261"/>
        <v>8685.0999999999985</v>
      </c>
      <c r="BF63" s="17">
        <f t="shared" si="261"/>
        <v>1693</v>
      </c>
      <c r="BG63" s="17">
        <f t="shared" si="261"/>
        <v>19050.699999999997</v>
      </c>
      <c r="BH63" s="17">
        <f t="shared" si="261"/>
        <v>6701.1999999999971</v>
      </c>
      <c r="BI63" s="20" t="s">
        <v>51</v>
      </c>
      <c r="BJ63" s="20" t="s">
        <v>51</v>
      </c>
      <c r="BK63" s="17">
        <f t="shared" si="261"/>
        <v>8822.8999999999942</v>
      </c>
      <c r="BL63" s="17">
        <f t="shared" si="261"/>
        <v>8181.8000000000029</v>
      </c>
      <c r="BM63" s="17">
        <f t="shared" si="261"/>
        <v>27873.600000000006</v>
      </c>
      <c r="BN63" s="17">
        <f t="shared" si="261"/>
        <v>14883.000000000029</v>
      </c>
      <c r="BO63" s="20" t="s">
        <v>51</v>
      </c>
      <c r="BP63" s="20" t="s">
        <v>51</v>
      </c>
      <c r="BQ63" s="17">
        <f t="shared" si="261"/>
        <v>0</v>
      </c>
      <c r="BR63" s="17">
        <f t="shared" si="261"/>
        <v>0</v>
      </c>
      <c r="BS63" s="17">
        <f t="shared" si="261"/>
        <v>27873.600000000006</v>
      </c>
      <c r="BT63" s="17">
        <f t="shared" si="261"/>
        <v>14883.000000000029</v>
      </c>
      <c r="BU63" s="20" t="s">
        <v>51</v>
      </c>
      <c r="BV63" s="20" t="s">
        <v>51</v>
      </c>
      <c r="BW63" s="17">
        <f t="shared" si="261"/>
        <v>0</v>
      </c>
      <c r="BX63" s="17">
        <f t="shared" si="261"/>
        <v>0</v>
      </c>
      <c r="BY63" s="17">
        <f t="shared" si="261"/>
        <v>27873.600000000006</v>
      </c>
      <c r="BZ63" s="17">
        <f t="shared" si="261"/>
        <v>14883.000000000029</v>
      </c>
      <c r="CA63" s="20" t="s">
        <v>51</v>
      </c>
      <c r="CB63" s="20" t="s">
        <v>51</v>
      </c>
      <c r="CC63" s="17">
        <f t="shared" si="261"/>
        <v>0</v>
      </c>
      <c r="CD63" s="17">
        <f t="shared" si="261"/>
        <v>0</v>
      </c>
      <c r="CE63" s="17">
        <f t="shared" si="261"/>
        <v>27873.600000000006</v>
      </c>
      <c r="CF63" s="17">
        <f t="shared" si="261"/>
        <v>14883.000000000029</v>
      </c>
      <c r="CG63" s="20" t="s">
        <v>51</v>
      </c>
      <c r="CH63" s="20" t="s">
        <v>51</v>
      </c>
      <c r="CI63" s="17">
        <f t="shared" si="261"/>
        <v>0</v>
      </c>
      <c r="CJ63" s="17">
        <f t="shared" si="261"/>
        <v>0</v>
      </c>
      <c r="CK63" s="17">
        <f t="shared" si="261"/>
        <v>27873.600000000006</v>
      </c>
      <c r="CL63" s="17">
        <f t="shared" si="261"/>
        <v>14883.000000000029</v>
      </c>
      <c r="CM63" s="20" t="s">
        <v>51</v>
      </c>
      <c r="CN63" s="20" t="s">
        <v>51</v>
      </c>
      <c r="CO63" s="17">
        <f t="shared" si="261"/>
        <v>0</v>
      </c>
      <c r="CP63" s="17">
        <f t="shared" si="261"/>
        <v>0</v>
      </c>
      <c r="CQ63" s="17">
        <f t="shared" si="261"/>
        <v>27873.600000000006</v>
      </c>
      <c r="CR63" s="17">
        <f t="shared" si="261"/>
        <v>14883.000000000029</v>
      </c>
      <c r="CS63" s="20" t="s">
        <v>51</v>
      </c>
      <c r="CT63" s="20" t="s">
        <v>51</v>
      </c>
      <c r="CU63" s="17">
        <f t="shared" si="261"/>
        <v>0</v>
      </c>
      <c r="CV63" s="17">
        <f t="shared" si="261"/>
        <v>0</v>
      </c>
      <c r="CW63" s="17">
        <f t="shared" si="261"/>
        <v>27873.600000000006</v>
      </c>
      <c r="CX63" s="17">
        <f t="shared" si="261"/>
        <v>14883.000000000029</v>
      </c>
      <c r="CY63" s="20" t="s">
        <v>51</v>
      </c>
      <c r="CZ63" s="20" t="s">
        <v>51</v>
      </c>
      <c r="DA63" s="17">
        <f t="shared" si="261"/>
        <v>0</v>
      </c>
      <c r="DB63" s="17">
        <f t="shared" si="261"/>
        <v>0</v>
      </c>
      <c r="DC63" s="17">
        <f t="shared" si="261"/>
        <v>27873.600000000006</v>
      </c>
      <c r="DD63" s="17">
        <f t="shared" si="261"/>
        <v>14883.000000000029</v>
      </c>
      <c r="DE63" s="20" t="s">
        <v>51</v>
      </c>
      <c r="DF63" s="20" t="s">
        <v>51</v>
      </c>
      <c r="DG63" s="17">
        <f t="shared" si="261"/>
        <v>0</v>
      </c>
      <c r="DH63" s="17">
        <f t="shared" si="261"/>
        <v>0</v>
      </c>
      <c r="DI63" s="17">
        <f t="shared" si="261"/>
        <v>27873.600000000006</v>
      </c>
      <c r="DJ63" s="17">
        <f t="shared" si="261"/>
        <v>14883.000000000029</v>
      </c>
      <c r="DK63" s="20" t="s">
        <v>51</v>
      </c>
      <c r="DL63" s="20" t="s">
        <v>51</v>
      </c>
      <c r="DM63" s="17">
        <f t="shared" si="261"/>
        <v>0</v>
      </c>
      <c r="DN63" s="17">
        <f t="shared" si="261"/>
        <v>0</v>
      </c>
      <c r="DO63" s="17">
        <f t="shared" ref="DO63:DR63" si="262">DO8-DO36</f>
        <v>0</v>
      </c>
      <c r="DP63" s="17">
        <f t="shared" si="262"/>
        <v>0</v>
      </c>
      <c r="DQ63" s="17">
        <f t="shared" si="262"/>
        <v>112407.90000000002</v>
      </c>
      <c r="DR63" s="17">
        <f t="shared" si="262"/>
        <v>17577.400000000023</v>
      </c>
      <c r="DS63" s="20" t="s">
        <v>51</v>
      </c>
      <c r="DT63" s="20" t="s">
        <v>51</v>
      </c>
      <c r="DU63" s="20" t="s">
        <v>51</v>
      </c>
      <c r="DV63" s="20" t="s">
        <v>51</v>
      </c>
      <c r="DW63" s="2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</row>
    <row r="64" spans="1:268" s="75" customFormat="1" ht="18" customHeight="1">
      <c r="A64" s="311" t="s">
        <v>52</v>
      </c>
      <c r="B64" s="312"/>
      <c r="C64" s="54" t="str">
        <f t="shared" ref="C64:AH64" si="263">IF(C63&gt;0,"-",-C63/(C9-C11))</f>
        <v>-</v>
      </c>
      <c r="D64" s="54" t="str">
        <f t="shared" si="263"/>
        <v>-</v>
      </c>
      <c r="E64" s="54" t="str">
        <f t="shared" si="263"/>
        <v>-</v>
      </c>
      <c r="F64" s="54" t="str">
        <f t="shared" si="263"/>
        <v>-</v>
      </c>
      <c r="G64" s="54" t="str">
        <f t="shared" si="263"/>
        <v>-</v>
      </c>
      <c r="H64" s="54" t="str">
        <f t="shared" si="263"/>
        <v>-</v>
      </c>
      <c r="I64" s="54" t="str">
        <f t="shared" si="263"/>
        <v>-</v>
      </c>
      <c r="J64" s="54" t="str">
        <f t="shared" si="263"/>
        <v>-</v>
      </c>
      <c r="K64" s="54" t="str">
        <f t="shared" si="263"/>
        <v>-</v>
      </c>
      <c r="L64" s="54" t="str">
        <f t="shared" si="263"/>
        <v>-</v>
      </c>
      <c r="M64" s="54" t="str">
        <f t="shared" si="263"/>
        <v>-</v>
      </c>
      <c r="N64" s="54" t="str">
        <f t="shared" si="263"/>
        <v>-</v>
      </c>
      <c r="O64" s="54" t="str">
        <f t="shared" si="263"/>
        <v>-</v>
      </c>
      <c r="P64" s="54" t="str">
        <f t="shared" si="263"/>
        <v>-</v>
      </c>
      <c r="Q64" s="54" t="str">
        <f t="shared" si="263"/>
        <v>-</v>
      </c>
      <c r="R64" s="54" t="str">
        <f t="shared" si="263"/>
        <v>-</v>
      </c>
      <c r="S64" s="54" t="str">
        <f t="shared" si="263"/>
        <v>-</v>
      </c>
      <c r="T64" s="54" t="str">
        <f t="shared" si="263"/>
        <v>-</v>
      </c>
      <c r="U64" s="54" t="str">
        <f t="shared" si="263"/>
        <v>-</v>
      </c>
      <c r="V64" s="54" t="str">
        <f t="shared" si="263"/>
        <v>-</v>
      </c>
      <c r="W64" s="54" t="str">
        <f t="shared" si="263"/>
        <v>-</v>
      </c>
      <c r="X64" s="54" t="str">
        <f t="shared" si="263"/>
        <v>-</v>
      </c>
      <c r="Y64" s="54" t="str">
        <f t="shared" si="263"/>
        <v>-</v>
      </c>
      <c r="Z64" s="54">
        <f t="shared" si="263"/>
        <v>0.21056015853941348</v>
      </c>
      <c r="AA64" s="54" t="str">
        <f t="shared" si="263"/>
        <v>-</v>
      </c>
      <c r="AB64" s="54" t="str">
        <f t="shared" si="263"/>
        <v>-</v>
      </c>
      <c r="AC64" s="54">
        <f t="shared" si="263"/>
        <v>3.9189732322284808E-2</v>
      </c>
      <c r="AD64" s="54">
        <f t="shared" si="263"/>
        <v>9.983262942245183E-2</v>
      </c>
      <c r="AE64" s="54" t="str">
        <f t="shared" si="263"/>
        <v>-</v>
      </c>
      <c r="AF64" s="54" t="str">
        <f t="shared" si="263"/>
        <v>-</v>
      </c>
      <c r="AG64" s="54">
        <f t="shared" si="263"/>
        <v>5.6386750167886704E-2</v>
      </c>
      <c r="AH64" s="54">
        <f t="shared" si="263"/>
        <v>0.21598328922743301</v>
      </c>
      <c r="AI64" s="54" t="str">
        <f t="shared" ref="AI64:AZ64" si="264">IF(AI63&gt;0,"-",-AI63/(AI9-AI11))</f>
        <v>-</v>
      </c>
      <c r="AJ64" s="54" t="str">
        <f t="shared" si="264"/>
        <v>-</v>
      </c>
      <c r="AK64" s="54" t="str">
        <f t="shared" si="264"/>
        <v>-</v>
      </c>
      <c r="AL64" s="54" t="str">
        <f t="shared" si="264"/>
        <v>-</v>
      </c>
      <c r="AM64" s="54" t="str">
        <f t="shared" si="264"/>
        <v>-</v>
      </c>
      <c r="AN64" s="54" t="str">
        <f t="shared" si="264"/>
        <v>-</v>
      </c>
      <c r="AO64" s="54" t="str">
        <f t="shared" si="264"/>
        <v>-</v>
      </c>
      <c r="AP64" s="54" t="str">
        <f t="shared" si="264"/>
        <v>-</v>
      </c>
      <c r="AQ64" s="54" t="str">
        <f t="shared" si="264"/>
        <v>-</v>
      </c>
      <c r="AR64" s="54" t="str">
        <f t="shared" si="264"/>
        <v>-</v>
      </c>
      <c r="AS64" s="54" t="str">
        <f t="shared" si="264"/>
        <v>-</v>
      </c>
      <c r="AT64" s="54" t="str">
        <f t="shared" si="264"/>
        <v>-</v>
      </c>
      <c r="AU64" s="54" t="str">
        <f t="shared" si="264"/>
        <v>-</v>
      </c>
      <c r="AV64" s="54" t="str">
        <f t="shared" si="264"/>
        <v>-</v>
      </c>
      <c r="AW64" s="54" t="str">
        <f t="shared" si="264"/>
        <v>-</v>
      </c>
      <c r="AX64" s="54">
        <f t="shared" si="264"/>
        <v>0.53910591263532459</v>
      </c>
      <c r="AY64" s="54" t="str">
        <f t="shared" si="264"/>
        <v>-</v>
      </c>
      <c r="AZ64" s="54" t="str">
        <f t="shared" si="264"/>
        <v>-</v>
      </c>
      <c r="BA64" s="27" t="s">
        <v>51</v>
      </c>
      <c r="BB64" s="27" t="s">
        <v>51</v>
      </c>
      <c r="BC64" s="54" t="str">
        <f t="shared" ref="BC64:BH64" si="265">IF(BC63&gt;0,"-",-BC63/(BC9-BC11))</f>
        <v>-</v>
      </c>
      <c r="BD64" s="54" t="str">
        <f t="shared" si="265"/>
        <v>-</v>
      </c>
      <c r="BE64" s="54" t="str">
        <f t="shared" si="265"/>
        <v>-</v>
      </c>
      <c r="BF64" s="54" t="str">
        <f t="shared" si="265"/>
        <v>-</v>
      </c>
      <c r="BG64" s="54" t="str">
        <f t="shared" si="265"/>
        <v>-</v>
      </c>
      <c r="BH64" s="54" t="str">
        <f t="shared" si="265"/>
        <v>-</v>
      </c>
      <c r="BI64" s="27" t="s">
        <v>51</v>
      </c>
      <c r="BJ64" s="27" t="s">
        <v>51</v>
      </c>
      <c r="BK64" s="54" t="str">
        <f>IF(BK63&gt;0,"-",-BK63/(BK9-BK11))</f>
        <v>-</v>
      </c>
      <c r="BL64" s="54" t="str">
        <f>IF(BL63&gt;0,"-",-BL63/(BL9-BL11))</f>
        <v>-</v>
      </c>
      <c r="BM64" s="54" t="str">
        <f>IF(BM63&gt;0,"-",-BM63/(BM9-BM11))</f>
        <v>-</v>
      </c>
      <c r="BN64" s="54" t="str">
        <f>IF(BN63&gt;0,"-",-BN63/(BN9-BN11))</f>
        <v>-</v>
      </c>
      <c r="BO64" s="27" t="s">
        <v>51</v>
      </c>
      <c r="BP64" s="27" t="s">
        <v>51</v>
      </c>
      <c r="BQ64" s="54" t="e">
        <f>IF(BQ63&gt;0,"-",-BQ63/(BQ9-BQ11))</f>
        <v>#DIV/0!</v>
      </c>
      <c r="BR64" s="54" t="e">
        <f>IF(BR63&gt;0,"-",-BR63/(BR9-BR11))</f>
        <v>#DIV/0!</v>
      </c>
      <c r="BS64" s="54" t="str">
        <f>IF(BS63&gt;0,"-",-BS63/(BS9-BS11))</f>
        <v>-</v>
      </c>
      <c r="BT64" s="54" t="str">
        <f>IF(BT63&gt;0,"-",-BT63/(BT9-BT11))</f>
        <v>-</v>
      </c>
      <c r="BU64" s="27" t="s">
        <v>51</v>
      </c>
      <c r="BV64" s="27" t="s">
        <v>51</v>
      </c>
      <c r="BW64" s="54" t="e">
        <f>IF(BW63&gt;0,"-",-BW63/(BW9-BW11))</f>
        <v>#DIV/0!</v>
      </c>
      <c r="BX64" s="54" t="e">
        <f>IF(BX63&gt;0,"-",-BX63/(BX9-BX11))</f>
        <v>#DIV/0!</v>
      </c>
      <c r="BY64" s="54" t="str">
        <f>IF(BY63&gt;0,"-",-BY63/(BY9-BY11))</f>
        <v>-</v>
      </c>
      <c r="BZ64" s="54" t="str">
        <f>IF(BZ63&gt;0,"-",-BZ63/(BZ9-BZ11))</f>
        <v>-</v>
      </c>
      <c r="CA64" s="27" t="s">
        <v>51</v>
      </c>
      <c r="CB64" s="27" t="s">
        <v>51</v>
      </c>
      <c r="CC64" s="54" t="e">
        <f>IF(CC63&gt;0,"-",-CC63/(CC9-CC11))</f>
        <v>#DIV/0!</v>
      </c>
      <c r="CD64" s="54" t="e">
        <f>IF(CD63&gt;0,"-",-CD63/(CD9-CD11))</f>
        <v>#DIV/0!</v>
      </c>
      <c r="CE64" s="54" t="str">
        <f>IF(CE63&gt;0,"-",-CE63/(CE9-CE11))</f>
        <v>-</v>
      </c>
      <c r="CF64" s="54" t="str">
        <f>IF(CF63&gt;0,"-",-CF63/(CF9-CF11))</f>
        <v>-</v>
      </c>
      <c r="CG64" s="27" t="s">
        <v>51</v>
      </c>
      <c r="CH64" s="27" t="s">
        <v>51</v>
      </c>
      <c r="CI64" s="54" t="e">
        <f>IF(CI63&gt;0,"-",-CI63/(CI9-CI11))</f>
        <v>#DIV/0!</v>
      </c>
      <c r="CJ64" s="54" t="e">
        <f>IF(CJ63&gt;0,"-",-CJ63/(CJ9-CJ11))</f>
        <v>#DIV/0!</v>
      </c>
      <c r="CK64" s="54" t="str">
        <f>IF(CK63&gt;0,"-",-CK63/(CK9-CK11))</f>
        <v>-</v>
      </c>
      <c r="CL64" s="54" t="str">
        <f>IF(CL63&gt;0,"-",-CL63/(CL9-CL11))</f>
        <v>-</v>
      </c>
      <c r="CM64" s="27" t="s">
        <v>51</v>
      </c>
      <c r="CN64" s="27" t="s">
        <v>51</v>
      </c>
      <c r="CO64" s="54" t="e">
        <f>IF(CO63&gt;0,"-",-CO63/(CO9-CO11))</f>
        <v>#DIV/0!</v>
      </c>
      <c r="CP64" s="54" t="e">
        <f>IF(CP63&gt;0,"-",-CP63/(CP9-CP11))</f>
        <v>#DIV/0!</v>
      </c>
      <c r="CQ64" s="54" t="str">
        <f>IF(CQ63&gt;0,"-",-CQ63/(CQ9-CQ11))</f>
        <v>-</v>
      </c>
      <c r="CR64" s="54" t="str">
        <f>IF(CR63&gt;0,"-",-CR63/(CR9-CR11))</f>
        <v>-</v>
      </c>
      <c r="CS64" s="27" t="s">
        <v>51</v>
      </c>
      <c r="CT64" s="27" t="s">
        <v>51</v>
      </c>
      <c r="CU64" s="54" t="e">
        <f>IF(CU63&gt;0,"-",-CU63/(CU9-CU11))</f>
        <v>#DIV/0!</v>
      </c>
      <c r="CV64" s="54" t="e">
        <f>IF(CV63&gt;0,"-",-CV63/(CV9-CV11))</f>
        <v>#DIV/0!</v>
      </c>
      <c r="CW64" s="54" t="str">
        <f>IF(CW63&gt;0,"-",-CW63/(CW9-CW11))</f>
        <v>-</v>
      </c>
      <c r="CX64" s="54" t="str">
        <f>IF(CX63&gt;0,"-",-CX63/(CX9-CX11))</f>
        <v>-</v>
      </c>
      <c r="CY64" s="27" t="s">
        <v>51</v>
      </c>
      <c r="CZ64" s="27" t="s">
        <v>51</v>
      </c>
      <c r="DA64" s="54" t="e">
        <f>IF(DA63&gt;0,"-",-DA63/(DA9-DA11))</f>
        <v>#DIV/0!</v>
      </c>
      <c r="DB64" s="54" t="e">
        <f>IF(DB63&gt;0,"-",-DB63/(DB9-DB11))</f>
        <v>#DIV/0!</v>
      </c>
      <c r="DC64" s="54" t="str">
        <f>IF(DC63&gt;0,"-",-DC63/(DC9-DC11))</f>
        <v>-</v>
      </c>
      <c r="DD64" s="54" t="str">
        <f>IF(DD63&gt;0,"-",-DD63/(DD9-DD11))</f>
        <v>-</v>
      </c>
      <c r="DE64" s="27" t="s">
        <v>51</v>
      </c>
      <c r="DF64" s="27" t="s">
        <v>51</v>
      </c>
      <c r="DG64" s="54" t="e">
        <f>IF(DG63&gt;0,"-",-DG63/(DG9-DG11))</f>
        <v>#DIV/0!</v>
      </c>
      <c r="DH64" s="54" t="e">
        <f>IF(DH63&gt;0,"-",-DH63/(DH9-DH11))</f>
        <v>#DIV/0!</v>
      </c>
      <c r="DI64" s="54" t="str">
        <f>IF(DI63&gt;0,"-",-DI63/(DI9-DI11))</f>
        <v>-</v>
      </c>
      <c r="DJ64" s="54" t="str">
        <f>IF(DJ63&gt;0,"-",-DJ63/(DJ9-DJ11))</f>
        <v>-</v>
      </c>
      <c r="DK64" s="27" t="s">
        <v>51</v>
      </c>
      <c r="DL64" s="27" t="s">
        <v>51</v>
      </c>
      <c r="DM64" s="54" t="e">
        <f t="shared" ref="DM64:DR64" si="266">IF(DM63&gt;0,"-",-DM63/(DM9-DM11))</f>
        <v>#DIV/0!</v>
      </c>
      <c r="DN64" s="54" t="e">
        <f t="shared" si="266"/>
        <v>#DIV/0!</v>
      </c>
      <c r="DO64" s="54" t="e">
        <f t="shared" si="266"/>
        <v>#DIV/0!</v>
      </c>
      <c r="DP64" s="54" t="e">
        <f t="shared" si="266"/>
        <v>#DIV/0!</v>
      </c>
      <c r="DQ64" s="54" t="str">
        <f t="shared" si="266"/>
        <v>-</v>
      </c>
      <c r="DR64" s="54" t="str">
        <f t="shared" si="266"/>
        <v>-</v>
      </c>
      <c r="DS64" s="27" t="s">
        <v>51</v>
      </c>
      <c r="DT64" s="27" t="s">
        <v>51</v>
      </c>
      <c r="DU64" s="27" t="s">
        <v>51</v>
      </c>
      <c r="DV64" s="27" t="s">
        <v>51</v>
      </c>
      <c r="DW64" s="73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</row>
    <row r="65" spans="1:268" s="75" customFormat="1" ht="19.5" customHeight="1">
      <c r="A65" s="327" t="s">
        <v>127</v>
      </c>
      <c r="B65" s="328"/>
      <c r="C65" s="109" t="str">
        <f t="shared" ref="C65:AH65" si="267">IF(OR(C9-C11=0,C63&gt;=0),"-",IF(AND(C67&lt;=0,C76&lt;=0),(-C63)/(C9-C11),IF(AND(C76&gt;0,C67&lt;=0),(-C63-C76)/(C9-C11),IF(AND(C76&lt;=0,C67&gt;0),(-C63-C67)/(C9-C11),(-C63-C67-C76)/(C9-C11)))))</f>
        <v>-</v>
      </c>
      <c r="D65" s="109" t="str">
        <f t="shared" si="267"/>
        <v>-</v>
      </c>
      <c r="E65" s="109" t="str">
        <f t="shared" si="267"/>
        <v>-</v>
      </c>
      <c r="F65" s="109" t="str">
        <f t="shared" si="267"/>
        <v>-</v>
      </c>
      <c r="G65" s="109" t="str">
        <f t="shared" si="267"/>
        <v>-</v>
      </c>
      <c r="H65" s="109" t="str">
        <f t="shared" si="267"/>
        <v>-</v>
      </c>
      <c r="I65" s="109" t="str">
        <f t="shared" si="267"/>
        <v>-</v>
      </c>
      <c r="J65" s="109" t="str">
        <f t="shared" si="267"/>
        <v>-</v>
      </c>
      <c r="K65" s="109" t="str">
        <f t="shared" si="267"/>
        <v>-</v>
      </c>
      <c r="L65" s="109" t="str">
        <f t="shared" si="267"/>
        <v>-</v>
      </c>
      <c r="M65" s="109" t="str">
        <f t="shared" si="267"/>
        <v>-</v>
      </c>
      <c r="N65" s="109" t="str">
        <f t="shared" si="267"/>
        <v>-</v>
      </c>
      <c r="O65" s="109" t="str">
        <f t="shared" si="267"/>
        <v>-</v>
      </c>
      <c r="P65" s="109" t="str">
        <f t="shared" si="267"/>
        <v>-</v>
      </c>
      <c r="Q65" s="109" t="str">
        <f t="shared" si="267"/>
        <v>-</v>
      </c>
      <c r="R65" s="109" t="str">
        <f t="shared" si="267"/>
        <v>-</v>
      </c>
      <c r="S65" s="109" t="str">
        <f t="shared" si="267"/>
        <v>-</v>
      </c>
      <c r="T65" s="109" t="str">
        <f t="shared" si="267"/>
        <v>-</v>
      </c>
      <c r="U65" s="109" t="str">
        <f t="shared" si="267"/>
        <v>-</v>
      </c>
      <c r="V65" s="109" t="str">
        <f t="shared" si="267"/>
        <v>-</v>
      </c>
      <c r="W65" s="109" t="str">
        <f t="shared" si="267"/>
        <v>-</v>
      </c>
      <c r="X65" s="109" t="str">
        <f t="shared" si="267"/>
        <v>-</v>
      </c>
      <c r="Y65" s="109" t="str">
        <f t="shared" si="267"/>
        <v>-</v>
      </c>
      <c r="Z65" s="109">
        <f t="shared" si="267"/>
        <v>0.21056015853941348</v>
      </c>
      <c r="AA65" s="109" t="str">
        <f t="shared" si="267"/>
        <v>-</v>
      </c>
      <c r="AB65" s="109" t="str">
        <f t="shared" si="267"/>
        <v>-</v>
      </c>
      <c r="AC65" s="109">
        <f t="shared" si="267"/>
        <v>-3.1537204254977087E-2</v>
      </c>
      <c r="AD65" s="109">
        <f t="shared" si="267"/>
        <v>-4.0121215839869391E-2</v>
      </c>
      <c r="AE65" s="109" t="str">
        <f t="shared" si="267"/>
        <v>-</v>
      </c>
      <c r="AF65" s="109" t="str">
        <f t="shared" si="267"/>
        <v>-</v>
      </c>
      <c r="AG65" s="109">
        <f t="shared" si="267"/>
        <v>-4.94682263278724E-2</v>
      </c>
      <c r="AH65" s="109">
        <f t="shared" si="267"/>
        <v>-7.0424922974477555E-2</v>
      </c>
      <c r="AI65" s="109" t="str">
        <f t="shared" ref="AI65:BN65" si="268">IF(OR(AI9-AI11=0,AI63&gt;=0),"-",IF(AND(AI67&lt;=0,AI76&lt;=0),(-AI63)/(AI9-AI11),IF(AND(AI76&gt;0,AI67&lt;=0),(-AI63-AI76)/(AI9-AI11),IF(AND(AI76&lt;=0,AI67&gt;0),(-AI63-AI67)/(AI9-AI11),(-AI63-AI67-AI76)/(AI9-AI11)))))</f>
        <v>-</v>
      </c>
      <c r="AJ65" s="109" t="str">
        <f t="shared" si="268"/>
        <v>-</v>
      </c>
      <c r="AK65" s="109" t="str">
        <f t="shared" si="268"/>
        <v>-</v>
      </c>
      <c r="AL65" s="109" t="str">
        <f t="shared" si="268"/>
        <v>-</v>
      </c>
      <c r="AM65" s="109" t="str">
        <f t="shared" si="268"/>
        <v>-</v>
      </c>
      <c r="AN65" s="109" t="str">
        <f t="shared" si="268"/>
        <v>-</v>
      </c>
      <c r="AO65" s="109" t="str">
        <f t="shared" si="268"/>
        <v>-</v>
      </c>
      <c r="AP65" s="109" t="str">
        <f t="shared" si="268"/>
        <v>-</v>
      </c>
      <c r="AQ65" s="109" t="str">
        <f t="shared" si="268"/>
        <v>-</v>
      </c>
      <c r="AR65" s="109" t="str">
        <f t="shared" si="268"/>
        <v>-</v>
      </c>
      <c r="AS65" s="109" t="str">
        <f t="shared" si="268"/>
        <v>-</v>
      </c>
      <c r="AT65" s="109" t="str">
        <f t="shared" si="268"/>
        <v>-</v>
      </c>
      <c r="AU65" s="109" t="str">
        <f t="shared" si="268"/>
        <v>-</v>
      </c>
      <c r="AV65" s="109" t="str">
        <f t="shared" si="268"/>
        <v>-</v>
      </c>
      <c r="AW65" s="109" t="str">
        <f t="shared" si="268"/>
        <v>-</v>
      </c>
      <c r="AX65" s="109">
        <f t="shared" si="268"/>
        <v>-3.2663335604511852E-2</v>
      </c>
      <c r="AY65" s="109" t="str">
        <f t="shared" si="268"/>
        <v>-</v>
      </c>
      <c r="AZ65" s="109" t="str">
        <f t="shared" si="268"/>
        <v>-</v>
      </c>
      <c r="BA65" s="109" t="str">
        <f t="shared" si="268"/>
        <v>-</v>
      </c>
      <c r="BB65" s="109" t="str">
        <f t="shared" si="268"/>
        <v>-</v>
      </c>
      <c r="BC65" s="109" t="str">
        <f t="shared" si="268"/>
        <v>-</v>
      </c>
      <c r="BD65" s="109" t="str">
        <f t="shared" si="268"/>
        <v>-</v>
      </c>
      <c r="BE65" s="109" t="str">
        <f t="shared" si="268"/>
        <v>-</v>
      </c>
      <c r="BF65" s="109" t="str">
        <f t="shared" si="268"/>
        <v>-</v>
      </c>
      <c r="BG65" s="109" t="str">
        <f t="shared" si="268"/>
        <v>-</v>
      </c>
      <c r="BH65" s="109" t="str">
        <f t="shared" si="268"/>
        <v>-</v>
      </c>
      <c r="BI65" s="109" t="str">
        <f t="shared" si="268"/>
        <v>-</v>
      </c>
      <c r="BJ65" s="109" t="str">
        <f t="shared" si="268"/>
        <v>-</v>
      </c>
      <c r="BK65" s="109" t="str">
        <f t="shared" si="268"/>
        <v>-</v>
      </c>
      <c r="BL65" s="109" t="str">
        <f t="shared" si="268"/>
        <v>-</v>
      </c>
      <c r="BM65" s="109" t="str">
        <f t="shared" si="268"/>
        <v>-</v>
      </c>
      <c r="BN65" s="109" t="str">
        <f t="shared" si="268"/>
        <v>-</v>
      </c>
      <c r="BO65" s="109" t="str">
        <f t="shared" ref="BO65:CT65" si="269">IF(OR(BO9-BO11=0,BO63&gt;=0),"-",IF(AND(BO67&lt;=0,BO76&lt;=0),(-BO63)/(BO9-BO11),IF(AND(BO76&gt;0,BO67&lt;=0),(-BO63-BO76)/(BO9-BO11),IF(AND(BO76&lt;=0,BO67&gt;0),(-BO63-BO67)/(BO9-BO11),(-BO63-BO67-BO76)/(BO9-BO11)))))</f>
        <v>-</v>
      </c>
      <c r="BP65" s="109" t="str">
        <f t="shared" si="269"/>
        <v>-</v>
      </c>
      <c r="BQ65" s="109" t="str">
        <f t="shared" si="269"/>
        <v>-</v>
      </c>
      <c r="BR65" s="109" t="str">
        <f t="shared" si="269"/>
        <v>-</v>
      </c>
      <c r="BS65" s="109" t="str">
        <f t="shared" si="269"/>
        <v>-</v>
      </c>
      <c r="BT65" s="109" t="str">
        <f t="shared" si="269"/>
        <v>-</v>
      </c>
      <c r="BU65" s="109" t="str">
        <f t="shared" si="269"/>
        <v>-</v>
      </c>
      <c r="BV65" s="109" t="str">
        <f t="shared" si="269"/>
        <v>-</v>
      </c>
      <c r="BW65" s="109" t="str">
        <f t="shared" si="269"/>
        <v>-</v>
      </c>
      <c r="BX65" s="109" t="str">
        <f t="shared" si="269"/>
        <v>-</v>
      </c>
      <c r="BY65" s="109" t="str">
        <f t="shared" si="269"/>
        <v>-</v>
      </c>
      <c r="BZ65" s="109" t="str">
        <f t="shared" si="269"/>
        <v>-</v>
      </c>
      <c r="CA65" s="109" t="str">
        <f t="shared" si="269"/>
        <v>-</v>
      </c>
      <c r="CB65" s="109" t="str">
        <f t="shared" si="269"/>
        <v>-</v>
      </c>
      <c r="CC65" s="109" t="str">
        <f t="shared" si="269"/>
        <v>-</v>
      </c>
      <c r="CD65" s="109" t="str">
        <f t="shared" si="269"/>
        <v>-</v>
      </c>
      <c r="CE65" s="109" t="str">
        <f t="shared" si="269"/>
        <v>-</v>
      </c>
      <c r="CF65" s="109" t="str">
        <f t="shared" si="269"/>
        <v>-</v>
      </c>
      <c r="CG65" s="109" t="str">
        <f t="shared" si="269"/>
        <v>-</v>
      </c>
      <c r="CH65" s="109" t="str">
        <f t="shared" si="269"/>
        <v>-</v>
      </c>
      <c r="CI65" s="109" t="str">
        <f t="shared" si="269"/>
        <v>-</v>
      </c>
      <c r="CJ65" s="109" t="str">
        <f t="shared" si="269"/>
        <v>-</v>
      </c>
      <c r="CK65" s="109" t="str">
        <f t="shared" si="269"/>
        <v>-</v>
      </c>
      <c r="CL65" s="109" t="str">
        <f t="shared" si="269"/>
        <v>-</v>
      </c>
      <c r="CM65" s="109" t="str">
        <f t="shared" si="269"/>
        <v>-</v>
      </c>
      <c r="CN65" s="109" t="str">
        <f t="shared" si="269"/>
        <v>-</v>
      </c>
      <c r="CO65" s="109" t="str">
        <f t="shared" si="269"/>
        <v>-</v>
      </c>
      <c r="CP65" s="109" t="str">
        <f t="shared" si="269"/>
        <v>-</v>
      </c>
      <c r="CQ65" s="109" t="str">
        <f t="shared" si="269"/>
        <v>-</v>
      </c>
      <c r="CR65" s="109" t="str">
        <f t="shared" si="269"/>
        <v>-</v>
      </c>
      <c r="CS65" s="109" t="str">
        <f t="shared" si="269"/>
        <v>-</v>
      </c>
      <c r="CT65" s="109" t="str">
        <f t="shared" si="269"/>
        <v>-</v>
      </c>
      <c r="CU65" s="109" t="str">
        <f t="shared" ref="CU65:DV65" si="270">IF(OR(CU9-CU11=0,CU63&gt;=0),"-",IF(AND(CU67&lt;=0,CU76&lt;=0),(-CU63)/(CU9-CU11),IF(AND(CU76&gt;0,CU67&lt;=0),(-CU63-CU76)/(CU9-CU11),IF(AND(CU76&lt;=0,CU67&gt;0),(-CU63-CU67)/(CU9-CU11),(-CU63-CU67-CU76)/(CU9-CU11)))))</f>
        <v>-</v>
      </c>
      <c r="CV65" s="109" t="str">
        <f t="shared" si="270"/>
        <v>-</v>
      </c>
      <c r="CW65" s="109" t="str">
        <f t="shared" si="270"/>
        <v>-</v>
      </c>
      <c r="CX65" s="109" t="str">
        <f t="shared" si="270"/>
        <v>-</v>
      </c>
      <c r="CY65" s="109" t="str">
        <f t="shared" si="270"/>
        <v>-</v>
      </c>
      <c r="CZ65" s="109" t="str">
        <f t="shared" si="270"/>
        <v>-</v>
      </c>
      <c r="DA65" s="109" t="str">
        <f t="shared" si="270"/>
        <v>-</v>
      </c>
      <c r="DB65" s="109" t="str">
        <f t="shared" si="270"/>
        <v>-</v>
      </c>
      <c r="DC65" s="109" t="str">
        <f t="shared" si="270"/>
        <v>-</v>
      </c>
      <c r="DD65" s="109" t="str">
        <f t="shared" si="270"/>
        <v>-</v>
      </c>
      <c r="DE65" s="109" t="str">
        <f t="shared" si="270"/>
        <v>-</v>
      </c>
      <c r="DF65" s="109" t="str">
        <f t="shared" si="270"/>
        <v>-</v>
      </c>
      <c r="DG65" s="109" t="str">
        <f t="shared" si="270"/>
        <v>-</v>
      </c>
      <c r="DH65" s="109" t="str">
        <f t="shared" si="270"/>
        <v>-</v>
      </c>
      <c r="DI65" s="109" t="str">
        <f t="shared" si="270"/>
        <v>-</v>
      </c>
      <c r="DJ65" s="109" t="str">
        <f t="shared" si="270"/>
        <v>-</v>
      </c>
      <c r="DK65" s="109" t="str">
        <f t="shared" si="270"/>
        <v>-</v>
      </c>
      <c r="DL65" s="109" t="str">
        <f t="shared" si="270"/>
        <v>-</v>
      </c>
      <c r="DM65" s="109" t="str">
        <f t="shared" si="270"/>
        <v>-</v>
      </c>
      <c r="DN65" s="109" t="str">
        <f t="shared" si="270"/>
        <v>-</v>
      </c>
      <c r="DO65" s="109" t="str">
        <f t="shared" si="270"/>
        <v>-</v>
      </c>
      <c r="DP65" s="109" t="str">
        <f t="shared" si="270"/>
        <v>-</v>
      </c>
      <c r="DQ65" s="109" t="str">
        <f t="shared" si="270"/>
        <v>-</v>
      </c>
      <c r="DR65" s="109" t="str">
        <f t="shared" si="270"/>
        <v>-</v>
      </c>
      <c r="DS65" s="109" t="str">
        <f t="shared" si="270"/>
        <v>-</v>
      </c>
      <c r="DT65" s="109" t="str">
        <f t="shared" si="270"/>
        <v>-</v>
      </c>
      <c r="DU65" s="109" t="str">
        <f t="shared" si="270"/>
        <v>-</v>
      </c>
      <c r="DV65" s="109" t="str">
        <f t="shared" si="270"/>
        <v>-</v>
      </c>
      <c r="DW65" s="73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</row>
    <row r="66" spans="1:268" s="77" customFormat="1" ht="32.25" customHeight="1">
      <c r="A66" s="224" t="s">
        <v>53</v>
      </c>
      <c r="B66" s="225"/>
      <c r="C66" s="107">
        <f>'[1]прогноз '!B63</f>
        <v>-3535.3000000000684</v>
      </c>
      <c r="D66" s="107">
        <f>'[1]прогноз '!C63</f>
        <v>10754.349999999973</v>
      </c>
      <c r="E66" s="107">
        <f>E67+E70+E73+E76</f>
        <v>-153311.69999999995</v>
      </c>
      <c r="F66" s="107">
        <f t="shared" ref="F66:AW66" si="271">F67+F70+F73+F76</f>
        <v>-27959.300000000163</v>
      </c>
      <c r="G66" s="107">
        <f t="shared" si="271"/>
        <v>-8921</v>
      </c>
      <c r="H66" s="107">
        <f t="shared" si="271"/>
        <v>-8725.2999999999956</v>
      </c>
      <c r="I66" s="107">
        <f t="shared" si="271"/>
        <v>-22977.199999999997</v>
      </c>
      <c r="J66" s="107">
        <f t="shared" si="271"/>
        <v>-20169.69999999999</v>
      </c>
      <c r="K66" s="107">
        <f t="shared" si="271"/>
        <v>-31898.199999999983</v>
      </c>
      <c r="L66" s="107">
        <f t="shared" si="271"/>
        <v>-28895</v>
      </c>
      <c r="M66" s="107">
        <f t="shared" si="271"/>
        <v>-1366.3999999999942</v>
      </c>
      <c r="N66" s="107">
        <f>N67+N70+N73+N76</f>
        <v>-598.79999999998836</v>
      </c>
      <c r="O66" s="107">
        <f>O67+O70+O73+O76</f>
        <v>-33264.599999999977</v>
      </c>
      <c r="P66" s="107">
        <f t="shared" ref="P66" si="272">P67+P70+P73+P76</f>
        <v>-29493.799999999988</v>
      </c>
      <c r="Q66" s="107">
        <f t="shared" si="271"/>
        <v>-5437</v>
      </c>
      <c r="R66" s="107">
        <f t="shared" si="271"/>
        <v>-8043.010000000002</v>
      </c>
      <c r="S66" s="107">
        <f>S67+S70+S73+S76</f>
        <v>-38701.600000000064</v>
      </c>
      <c r="T66" s="107">
        <f t="shared" ref="T66" si="273">T67+T70+T73+T76</f>
        <v>-37536.810000000027</v>
      </c>
      <c r="U66" s="107">
        <f t="shared" si="271"/>
        <v>-13199.600000000013</v>
      </c>
      <c r="V66" s="107">
        <f t="shared" si="271"/>
        <v>-6683.5999999999913</v>
      </c>
      <c r="W66" s="107">
        <f>W67+W70+W73+W76</f>
        <v>-51901.20000000007</v>
      </c>
      <c r="X66" s="107">
        <f t="shared" ref="X66" si="274">X67+X70+X73+X76</f>
        <v>-44220.410000000033</v>
      </c>
      <c r="Y66" s="107">
        <f t="shared" si="271"/>
        <v>-3069.8999999999796</v>
      </c>
      <c r="Z66" s="107">
        <f t="shared" si="271"/>
        <v>3995</v>
      </c>
      <c r="AA66" s="107">
        <f>AA67+AA70+AA73+AA76</f>
        <v>-54971.099999999977</v>
      </c>
      <c r="AB66" s="107">
        <f t="shared" ref="AB66" si="275">AB67+AB70+AB73+AB76</f>
        <v>-40225.410000000033</v>
      </c>
      <c r="AC66" s="107">
        <f t="shared" si="271"/>
        <v>1462.5999999999913</v>
      </c>
      <c r="AD66" s="107">
        <f t="shared" si="271"/>
        <v>2928.6999999999825</v>
      </c>
      <c r="AE66" s="107">
        <f>AE67+AE70+AE73+AE76</f>
        <v>-53508.500000000116</v>
      </c>
      <c r="AF66" s="107">
        <f t="shared" ref="AF66" si="276">AF67+AF70+AF73+AF76</f>
        <v>-37296.710000000021</v>
      </c>
      <c r="AG66" s="107">
        <f t="shared" si="271"/>
        <v>1444.1999999999825</v>
      </c>
      <c r="AH66" s="107">
        <f t="shared" si="271"/>
        <v>3885.7100000000064</v>
      </c>
      <c r="AI66" s="107">
        <f>AI67+AI70+AI73+AI76</f>
        <v>-52064.300000000105</v>
      </c>
      <c r="AJ66" s="107">
        <f t="shared" ref="AJ66" si="277">AJ67+AJ70+AJ73+AJ76</f>
        <v>-33410.999999999942</v>
      </c>
      <c r="AK66" s="107">
        <f t="shared" si="271"/>
        <v>-3879.0999999999694</v>
      </c>
      <c r="AL66" s="107">
        <f t="shared" si="271"/>
        <v>-4824.2000000000189</v>
      </c>
      <c r="AM66" s="107">
        <f>AM67+AM70+AM73+AM76</f>
        <v>-55943.40000000014</v>
      </c>
      <c r="AN66" s="107">
        <f t="shared" ref="AN66" si="278">AN67+AN70+AN73+AN76</f>
        <v>-38235.20000000007</v>
      </c>
      <c r="AO66" s="107">
        <f t="shared" si="271"/>
        <v>-8144.0000000000291</v>
      </c>
      <c r="AP66" s="107">
        <f t="shared" si="271"/>
        <v>-3945.3000000000466</v>
      </c>
      <c r="AQ66" s="107">
        <f>AQ67+AQ70+AQ73+AQ76</f>
        <v>-64087.40000000014</v>
      </c>
      <c r="AR66" s="107">
        <f t="shared" ref="AR66" si="279">AR67+AR70+AR73+AR76</f>
        <v>-42180.5</v>
      </c>
      <c r="AS66" s="107">
        <f t="shared" si="271"/>
        <v>-38859.300000000003</v>
      </c>
      <c r="AT66" s="107">
        <f t="shared" si="271"/>
        <v>-20.899999999994179</v>
      </c>
      <c r="AU66" s="107">
        <f>AU67+AU70+AU73+AU76</f>
        <v>-102946.69999999995</v>
      </c>
      <c r="AV66" s="107">
        <f t="shared" ref="AV66" si="280">AV67+AV70+AV73+AV76</f>
        <v>-42201.400000000023</v>
      </c>
      <c r="AW66" s="107">
        <f t="shared" si="271"/>
        <v>-40046</v>
      </c>
      <c r="AX66" s="107">
        <f>AX67+AX70+AX73+AX76</f>
        <v>14242.100000000006</v>
      </c>
      <c r="AY66" s="107">
        <f>AY67+AY70+AY73+AY76</f>
        <v>-174222.40000000002</v>
      </c>
      <c r="AZ66" s="107">
        <f>AZ67+AZ70+AZ73+AZ76</f>
        <v>-77157.400000000023</v>
      </c>
      <c r="BA66" s="108" t="s">
        <v>51</v>
      </c>
      <c r="BB66" s="108" t="s">
        <v>51</v>
      </c>
      <c r="BC66" s="107">
        <f t="shared" ref="BC66" si="281">BC67+BC70+BC73+BC76</f>
        <v>-10365.599999999999</v>
      </c>
      <c r="BD66" s="107">
        <f>BD67+BD70+BD73+BD76</f>
        <v>-5008.1999999999971</v>
      </c>
      <c r="BE66" s="107">
        <f t="shared" ref="BE66:DP66" si="282">BE67+BE70+BE73+BE76</f>
        <v>-8685.0999999999985</v>
      </c>
      <c r="BF66" s="107">
        <f t="shared" si="282"/>
        <v>-1693</v>
      </c>
      <c r="BG66" s="107">
        <f t="shared" si="282"/>
        <v>-19050.699999999997</v>
      </c>
      <c r="BH66" s="107">
        <f t="shared" si="282"/>
        <v>-6701.1999999999971</v>
      </c>
      <c r="BI66" s="108" t="s">
        <v>51</v>
      </c>
      <c r="BJ66" s="108" t="s">
        <v>51</v>
      </c>
      <c r="BK66" s="107">
        <f t="shared" si="282"/>
        <v>-8822.8999999999942</v>
      </c>
      <c r="BL66" s="107">
        <f t="shared" si="282"/>
        <v>-8181.8000000000029</v>
      </c>
      <c r="BM66" s="107">
        <f t="shared" si="282"/>
        <v>-27873.600000000006</v>
      </c>
      <c r="BN66" s="107">
        <f t="shared" si="282"/>
        <v>-14883.000000000029</v>
      </c>
      <c r="BO66" s="108" t="s">
        <v>51</v>
      </c>
      <c r="BP66" s="108" t="s">
        <v>51</v>
      </c>
      <c r="BQ66" s="107">
        <f t="shared" si="282"/>
        <v>0</v>
      </c>
      <c r="BR66" s="107">
        <f t="shared" si="282"/>
        <v>0</v>
      </c>
      <c r="BS66" s="107">
        <f t="shared" si="282"/>
        <v>-27873.600000000006</v>
      </c>
      <c r="BT66" s="107">
        <f t="shared" si="282"/>
        <v>-14883.000000000029</v>
      </c>
      <c r="BU66" s="108" t="s">
        <v>51</v>
      </c>
      <c r="BV66" s="108" t="s">
        <v>51</v>
      </c>
      <c r="BW66" s="107">
        <f t="shared" si="282"/>
        <v>0</v>
      </c>
      <c r="BX66" s="107">
        <f t="shared" si="282"/>
        <v>0</v>
      </c>
      <c r="BY66" s="107">
        <f t="shared" si="282"/>
        <v>-27873.600000000006</v>
      </c>
      <c r="BZ66" s="107">
        <f t="shared" si="282"/>
        <v>-14883.000000000029</v>
      </c>
      <c r="CA66" s="108" t="s">
        <v>51</v>
      </c>
      <c r="CB66" s="108" t="s">
        <v>51</v>
      </c>
      <c r="CC66" s="107">
        <f t="shared" si="282"/>
        <v>0</v>
      </c>
      <c r="CD66" s="107">
        <f t="shared" si="282"/>
        <v>0</v>
      </c>
      <c r="CE66" s="107">
        <f t="shared" si="282"/>
        <v>-27873.600000000006</v>
      </c>
      <c r="CF66" s="107">
        <f t="shared" si="282"/>
        <v>-14883.000000000029</v>
      </c>
      <c r="CG66" s="108" t="s">
        <v>51</v>
      </c>
      <c r="CH66" s="108" t="s">
        <v>51</v>
      </c>
      <c r="CI66" s="107">
        <f t="shared" si="282"/>
        <v>0</v>
      </c>
      <c r="CJ66" s="107">
        <f t="shared" si="282"/>
        <v>0</v>
      </c>
      <c r="CK66" s="107">
        <f t="shared" si="282"/>
        <v>-27873.600000000006</v>
      </c>
      <c r="CL66" s="107">
        <f t="shared" si="282"/>
        <v>-14883.000000000029</v>
      </c>
      <c r="CM66" s="108" t="s">
        <v>51</v>
      </c>
      <c r="CN66" s="108" t="s">
        <v>51</v>
      </c>
      <c r="CO66" s="107">
        <f t="shared" si="282"/>
        <v>0</v>
      </c>
      <c r="CP66" s="107">
        <f t="shared" si="282"/>
        <v>0</v>
      </c>
      <c r="CQ66" s="107">
        <f t="shared" si="282"/>
        <v>-27873.600000000006</v>
      </c>
      <c r="CR66" s="107">
        <f t="shared" si="282"/>
        <v>-14883.000000000029</v>
      </c>
      <c r="CS66" s="108" t="s">
        <v>51</v>
      </c>
      <c r="CT66" s="108" t="s">
        <v>51</v>
      </c>
      <c r="CU66" s="107">
        <f t="shared" si="282"/>
        <v>0</v>
      </c>
      <c r="CV66" s="107">
        <f t="shared" si="282"/>
        <v>0</v>
      </c>
      <c r="CW66" s="107">
        <f t="shared" si="282"/>
        <v>-27873.600000000006</v>
      </c>
      <c r="CX66" s="107">
        <f t="shared" si="282"/>
        <v>-14883.000000000029</v>
      </c>
      <c r="CY66" s="108" t="s">
        <v>51</v>
      </c>
      <c r="CZ66" s="108" t="s">
        <v>51</v>
      </c>
      <c r="DA66" s="107">
        <f t="shared" si="282"/>
        <v>0</v>
      </c>
      <c r="DB66" s="107">
        <f t="shared" si="282"/>
        <v>0</v>
      </c>
      <c r="DC66" s="107">
        <f t="shared" si="282"/>
        <v>-27873.600000000006</v>
      </c>
      <c r="DD66" s="107">
        <f t="shared" si="282"/>
        <v>-14883.000000000029</v>
      </c>
      <c r="DE66" s="108" t="s">
        <v>51</v>
      </c>
      <c r="DF66" s="108" t="s">
        <v>51</v>
      </c>
      <c r="DG66" s="107">
        <f t="shared" si="282"/>
        <v>0</v>
      </c>
      <c r="DH66" s="107">
        <f t="shared" si="282"/>
        <v>0</v>
      </c>
      <c r="DI66" s="107">
        <f t="shared" si="282"/>
        <v>-27873.600000000006</v>
      </c>
      <c r="DJ66" s="107">
        <f t="shared" si="282"/>
        <v>-14883.000000000029</v>
      </c>
      <c r="DK66" s="108" t="s">
        <v>51</v>
      </c>
      <c r="DL66" s="108" t="s">
        <v>51</v>
      </c>
      <c r="DM66" s="107">
        <f t="shared" si="282"/>
        <v>0</v>
      </c>
      <c r="DN66" s="107">
        <f t="shared" si="282"/>
        <v>0</v>
      </c>
      <c r="DO66" s="107">
        <f t="shared" si="282"/>
        <v>0</v>
      </c>
      <c r="DP66" s="107">
        <f t="shared" si="282"/>
        <v>0</v>
      </c>
      <c r="DQ66" s="107">
        <f>DQ67+DQ70+DQ73+DQ76</f>
        <v>-112407.90000000002</v>
      </c>
      <c r="DR66" s="107">
        <f t="shared" ref="DR66" si="283">DR67+DR70+DR73+DR76</f>
        <v>-17577.400000000023</v>
      </c>
      <c r="DS66" s="108" t="s">
        <v>51</v>
      </c>
      <c r="DT66" s="108" t="s">
        <v>51</v>
      </c>
      <c r="DU66" s="108" t="s">
        <v>51</v>
      </c>
      <c r="DV66" s="108" t="s">
        <v>51</v>
      </c>
      <c r="DW66" s="37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</row>
    <row r="67" spans="1:268" s="75" customFormat="1" ht="18" customHeight="1">
      <c r="A67" s="319" t="s">
        <v>54</v>
      </c>
      <c r="B67" s="320"/>
      <c r="C67" s="96">
        <f t="shared" ref="C67:AZ67" si="284">C68-C69</f>
        <v>1257.4000000000015</v>
      </c>
      <c r="D67" s="96">
        <f t="shared" si="284"/>
        <v>1257.1999999999971</v>
      </c>
      <c r="E67" s="96">
        <f t="shared" si="284"/>
        <v>4915</v>
      </c>
      <c r="F67" s="96">
        <f t="shared" si="284"/>
        <v>4915</v>
      </c>
      <c r="G67" s="96">
        <f t="shared" si="284"/>
        <v>-1638</v>
      </c>
      <c r="H67" s="96">
        <f t="shared" si="284"/>
        <v>-1638</v>
      </c>
      <c r="I67" s="96">
        <f t="shared" si="284"/>
        <v>-1498</v>
      </c>
      <c r="J67" s="96">
        <f t="shared" si="284"/>
        <v>-1498</v>
      </c>
      <c r="K67" s="96">
        <f t="shared" si="284"/>
        <v>-3136</v>
      </c>
      <c r="L67" s="96">
        <f t="shared" si="284"/>
        <v>-3136</v>
      </c>
      <c r="M67" s="96">
        <f t="shared" si="284"/>
        <v>-1898</v>
      </c>
      <c r="N67" s="96">
        <f t="shared" si="284"/>
        <v>-1898</v>
      </c>
      <c r="O67" s="96">
        <f t="shared" si="284"/>
        <v>-5034</v>
      </c>
      <c r="P67" s="96">
        <f t="shared" si="284"/>
        <v>-5034</v>
      </c>
      <c r="Q67" s="96">
        <f t="shared" si="284"/>
        <v>-2248</v>
      </c>
      <c r="R67" s="96">
        <f t="shared" si="284"/>
        <v>-2248</v>
      </c>
      <c r="S67" s="96">
        <f t="shared" si="284"/>
        <v>-7282</v>
      </c>
      <c r="T67" s="96">
        <f t="shared" si="284"/>
        <v>-7282</v>
      </c>
      <c r="U67" s="96">
        <f t="shared" si="284"/>
        <v>-1270</v>
      </c>
      <c r="V67" s="96">
        <f t="shared" si="284"/>
        <v>-1270</v>
      </c>
      <c r="W67" s="96">
        <f t="shared" si="284"/>
        <v>-8552</v>
      </c>
      <c r="X67" s="96">
        <f t="shared" si="284"/>
        <v>-8552</v>
      </c>
      <c r="Y67" s="96">
        <f t="shared" si="284"/>
        <v>-1181</v>
      </c>
      <c r="Z67" s="96">
        <f t="shared" si="284"/>
        <v>-1181</v>
      </c>
      <c r="AA67" s="96">
        <f t="shared" si="284"/>
        <v>-9733</v>
      </c>
      <c r="AB67" s="96">
        <f t="shared" si="284"/>
        <v>-9733</v>
      </c>
      <c r="AC67" s="96">
        <f t="shared" si="284"/>
        <v>-1177</v>
      </c>
      <c r="AD67" s="96">
        <f t="shared" si="284"/>
        <v>-1177</v>
      </c>
      <c r="AE67" s="96">
        <f t="shared" si="284"/>
        <v>-10910</v>
      </c>
      <c r="AF67" s="96">
        <f t="shared" si="284"/>
        <v>-10910</v>
      </c>
      <c r="AG67" s="96">
        <f t="shared" si="284"/>
        <v>-1267</v>
      </c>
      <c r="AH67" s="96">
        <f t="shared" si="284"/>
        <v>-1267</v>
      </c>
      <c r="AI67" s="96">
        <f t="shared" si="284"/>
        <v>-12177</v>
      </c>
      <c r="AJ67" s="96">
        <f t="shared" si="284"/>
        <v>-12177</v>
      </c>
      <c r="AK67" s="96">
        <f t="shared" si="284"/>
        <v>2022</v>
      </c>
      <c r="AL67" s="96">
        <f t="shared" si="284"/>
        <v>2022</v>
      </c>
      <c r="AM67" s="96">
        <f t="shared" si="284"/>
        <v>-10155</v>
      </c>
      <c r="AN67" s="96">
        <f t="shared" si="284"/>
        <v>-10155</v>
      </c>
      <c r="AO67" s="96">
        <f t="shared" si="284"/>
        <v>-10</v>
      </c>
      <c r="AP67" s="96">
        <f t="shared" si="284"/>
        <v>-10</v>
      </c>
      <c r="AQ67" s="96">
        <f t="shared" si="284"/>
        <v>-10165</v>
      </c>
      <c r="AR67" s="96">
        <f t="shared" si="284"/>
        <v>-10165</v>
      </c>
      <c r="AS67" s="96">
        <f t="shared" si="284"/>
        <v>-25</v>
      </c>
      <c r="AT67" s="96">
        <f t="shared" si="284"/>
        <v>-25</v>
      </c>
      <c r="AU67" s="96">
        <f t="shared" si="284"/>
        <v>-10190</v>
      </c>
      <c r="AV67" s="96">
        <f t="shared" si="284"/>
        <v>-10190</v>
      </c>
      <c r="AW67" s="96">
        <f t="shared" si="284"/>
        <v>15105</v>
      </c>
      <c r="AX67" s="96">
        <f t="shared" si="284"/>
        <v>15105</v>
      </c>
      <c r="AY67" s="96">
        <f t="shared" si="284"/>
        <v>20000</v>
      </c>
      <c r="AZ67" s="96">
        <f t="shared" si="284"/>
        <v>20000</v>
      </c>
      <c r="BA67" s="54">
        <f t="shared" ref="BA67:BB76" si="285">IF(E67=0,1,AY67/E67-1)</f>
        <v>3.0691759918616484</v>
      </c>
      <c r="BB67" s="54">
        <f t="shared" si="285"/>
        <v>3.0691759918616484</v>
      </c>
      <c r="BC67" s="96">
        <f t="shared" ref="BC67:DN67" si="286">BC68-BC69</f>
        <v>-779</v>
      </c>
      <c r="BD67" s="96">
        <f t="shared" si="286"/>
        <v>-779</v>
      </c>
      <c r="BE67" s="96">
        <f t="shared" si="286"/>
        <v>-969</v>
      </c>
      <c r="BF67" s="96">
        <f t="shared" si="286"/>
        <v>-969</v>
      </c>
      <c r="BG67" s="96">
        <f t="shared" si="286"/>
        <v>-1748</v>
      </c>
      <c r="BH67" s="96">
        <f t="shared" si="286"/>
        <v>-1748</v>
      </c>
      <c r="BI67" s="54">
        <f t="shared" ref="BI67:BJ76" si="287">IF(K67=0,1,BG67/K67-1)</f>
        <v>-0.44260204081632648</v>
      </c>
      <c r="BJ67" s="54">
        <f t="shared" si="287"/>
        <v>-0.44260204081632648</v>
      </c>
      <c r="BK67" s="96">
        <f t="shared" si="286"/>
        <v>32081</v>
      </c>
      <c r="BL67" s="96">
        <f t="shared" si="286"/>
        <v>-1419</v>
      </c>
      <c r="BM67" s="96">
        <f t="shared" si="286"/>
        <v>30333</v>
      </c>
      <c r="BN67" s="96">
        <f t="shared" si="286"/>
        <v>-3167</v>
      </c>
      <c r="BO67" s="54">
        <f t="shared" ref="BO67:BP76" si="288">IF(O67=0,1,BM67/O67-1)</f>
        <v>-7.0256257449344455</v>
      </c>
      <c r="BP67" s="54">
        <f t="shared" si="288"/>
        <v>-0.37087802940007941</v>
      </c>
      <c r="BQ67" s="96">
        <f t="shared" si="286"/>
        <v>0</v>
      </c>
      <c r="BR67" s="96">
        <f t="shared" si="286"/>
        <v>0</v>
      </c>
      <c r="BS67" s="96">
        <f t="shared" si="286"/>
        <v>30333</v>
      </c>
      <c r="BT67" s="96">
        <f t="shared" si="286"/>
        <v>-3167</v>
      </c>
      <c r="BU67" s="54">
        <f t="shared" ref="BU67:BV76" si="289">IF(S67=0,1,BS67/S67-1)</f>
        <v>-5.1654765174402639</v>
      </c>
      <c r="BV67" s="54">
        <f t="shared" si="289"/>
        <v>-0.56509200769019508</v>
      </c>
      <c r="BW67" s="96">
        <f t="shared" si="286"/>
        <v>0</v>
      </c>
      <c r="BX67" s="96">
        <f t="shared" si="286"/>
        <v>0</v>
      </c>
      <c r="BY67" s="96">
        <f t="shared" si="286"/>
        <v>30333</v>
      </c>
      <c r="BZ67" s="96">
        <f t="shared" si="286"/>
        <v>-3167</v>
      </c>
      <c r="CA67" s="54">
        <f t="shared" ref="CA67:CB76" si="290">IF(W67=0,1,BY67/W67-1)</f>
        <v>-4.5468896164639849</v>
      </c>
      <c r="CB67" s="54">
        <f t="shared" si="290"/>
        <v>-0.62967726847521055</v>
      </c>
      <c r="CC67" s="96">
        <f t="shared" si="286"/>
        <v>0</v>
      </c>
      <c r="CD67" s="96">
        <f t="shared" si="286"/>
        <v>0</v>
      </c>
      <c r="CE67" s="96">
        <f t="shared" si="286"/>
        <v>30333</v>
      </c>
      <c r="CF67" s="96">
        <f t="shared" si="286"/>
        <v>-3167</v>
      </c>
      <c r="CG67" s="54">
        <f t="shared" ref="CG67:CH76" si="291">IF(AA67=0,1,CE67/AA67-1)</f>
        <v>-4.1165108394123084</v>
      </c>
      <c r="CH67" s="54">
        <f t="shared" si="291"/>
        <v>-0.67461214425151539</v>
      </c>
      <c r="CI67" s="96">
        <f t="shared" si="286"/>
        <v>0</v>
      </c>
      <c r="CJ67" s="96">
        <f t="shared" si="286"/>
        <v>0</v>
      </c>
      <c r="CK67" s="96">
        <f t="shared" si="286"/>
        <v>30333</v>
      </c>
      <c r="CL67" s="96">
        <f t="shared" si="286"/>
        <v>-3167</v>
      </c>
      <c r="CM67" s="54">
        <f t="shared" ref="CM67:CN76" si="292">IF(AE67=0,1,CK67/AE67-1)</f>
        <v>-3.7802933088909256</v>
      </c>
      <c r="CN67" s="54">
        <f t="shared" si="292"/>
        <v>-0.70971585701191575</v>
      </c>
      <c r="CO67" s="96">
        <f t="shared" si="286"/>
        <v>0</v>
      </c>
      <c r="CP67" s="96">
        <f t="shared" si="286"/>
        <v>0</v>
      </c>
      <c r="CQ67" s="96">
        <f t="shared" si="286"/>
        <v>30333</v>
      </c>
      <c r="CR67" s="96">
        <f t="shared" si="286"/>
        <v>-3167</v>
      </c>
      <c r="CS67" s="54">
        <f t="shared" ref="CS67:CT76" si="293">IF(AI67=0,1,CQ67/AI67-1)</f>
        <v>-3.4910076373491008</v>
      </c>
      <c r="CT67" s="54">
        <f t="shared" si="293"/>
        <v>-0.73991952040732523</v>
      </c>
      <c r="CU67" s="96">
        <f t="shared" si="286"/>
        <v>0</v>
      </c>
      <c r="CV67" s="96">
        <f t="shared" si="286"/>
        <v>0</v>
      </c>
      <c r="CW67" s="96">
        <f t="shared" si="286"/>
        <v>30333</v>
      </c>
      <c r="CX67" s="96">
        <f t="shared" si="286"/>
        <v>-3167</v>
      </c>
      <c r="CY67" s="54">
        <f t="shared" ref="CY67:CZ76" si="294">IF(AM67=0,1,CW67/AM67-1)</f>
        <v>-3.9870014771048745</v>
      </c>
      <c r="CZ67" s="54">
        <f t="shared" si="294"/>
        <v>-0.68813392417528307</v>
      </c>
      <c r="DA67" s="96">
        <f t="shared" si="286"/>
        <v>0</v>
      </c>
      <c r="DB67" s="96">
        <f t="shared" si="286"/>
        <v>0</v>
      </c>
      <c r="DC67" s="96">
        <f t="shared" si="286"/>
        <v>30333</v>
      </c>
      <c r="DD67" s="96">
        <f t="shared" si="286"/>
        <v>-3167</v>
      </c>
      <c r="DE67" s="54">
        <f t="shared" ref="DE67:DF76" si="295">IF(AQ67=0,1,DC67/AQ67-1)</f>
        <v>-3.9840629611411709</v>
      </c>
      <c r="DF67" s="54">
        <f t="shared" si="295"/>
        <v>-0.68844072798819478</v>
      </c>
      <c r="DG67" s="96">
        <f t="shared" si="286"/>
        <v>0</v>
      </c>
      <c r="DH67" s="96">
        <f t="shared" si="286"/>
        <v>0</v>
      </c>
      <c r="DI67" s="96">
        <f t="shared" si="286"/>
        <v>30333</v>
      </c>
      <c r="DJ67" s="96">
        <f t="shared" si="286"/>
        <v>-3167</v>
      </c>
      <c r="DK67" s="54">
        <f t="shared" ref="DK67:DL76" si="296">IF(AU67=0,1,DI67/AU67-1)</f>
        <v>-3.9767419038272815</v>
      </c>
      <c r="DL67" s="54">
        <f t="shared" si="296"/>
        <v>-0.68920510304219817</v>
      </c>
      <c r="DM67" s="96">
        <f t="shared" si="286"/>
        <v>0</v>
      </c>
      <c r="DN67" s="96">
        <f t="shared" si="286"/>
        <v>0</v>
      </c>
      <c r="DO67" s="96">
        <f t="shared" ref="DO67:DR67" si="297">DO68-DO69</f>
        <v>0</v>
      </c>
      <c r="DP67" s="96">
        <f t="shared" si="297"/>
        <v>0</v>
      </c>
      <c r="DQ67" s="96">
        <f t="shared" si="297"/>
        <v>20000</v>
      </c>
      <c r="DR67" s="96">
        <f t="shared" si="297"/>
        <v>20000</v>
      </c>
      <c r="DS67" s="54">
        <f>IF($AY$67=0,1,DQ67/$AY$67-1)</f>
        <v>0</v>
      </c>
      <c r="DT67" s="54">
        <f>IF($AZ$67=0,1,DR67/$AZ$67-1)</f>
        <v>0</v>
      </c>
      <c r="DU67" s="54">
        <f>IF($E$67=0,1,DQ67/$E$67-1)</f>
        <v>3.0691759918616484</v>
      </c>
      <c r="DV67" s="54">
        <f>IF($E$67=0,1,DR67/$E$67-1)</f>
        <v>3.0691759918616484</v>
      </c>
      <c r="DW67" s="28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</row>
    <row r="68" spans="1:268" s="66" customFormat="1" ht="18" customHeight="1">
      <c r="A68" s="321" t="s">
        <v>55</v>
      </c>
      <c r="B68" s="322"/>
      <c r="C68" s="29">
        <f>'[1]прогноз '!B65</f>
        <v>20446.400000000001</v>
      </c>
      <c r="D68" s="29">
        <f>'[1]прогноз '!C65</f>
        <v>20446.199999999997</v>
      </c>
      <c r="E68" s="29">
        <f>G68+I68+M68+Q68+U68+Y68+AC68+AG68+AK68++AO68+AS68+AW68</f>
        <v>20650</v>
      </c>
      <c r="F68" s="29">
        <f>H68+J68+N68+R68+V68+Z68+AD68+AH68+AL68+AP68+AT68+AX68</f>
        <v>20650</v>
      </c>
      <c r="G68" s="29">
        <v>0</v>
      </c>
      <c r="H68" s="29">
        <v>0</v>
      </c>
      <c r="I68" s="29">
        <v>0</v>
      </c>
      <c r="J68" s="29">
        <v>0</v>
      </c>
      <c r="K68" s="29">
        <f>G68+I68</f>
        <v>0</v>
      </c>
      <c r="L68" s="29">
        <f>H68+J68</f>
        <v>0</v>
      </c>
      <c r="M68" s="29">
        <v>0</v>
      </c>
      <c r="N68" s="29">
        <v>0</v>
      </c>
      <c r="O68" s="29">
        <f>K68+M68</f>
        <v>0</v>
      </c>
      <c r="P68" s="29">
        <f>L68+N68</f>
        <v>0</v>
      </c>
      <c r="Q68" s="29">
        <v>0</v>
      </c>
      <c r="R68" s="29">
        <v>0</v>
      </c>
      <c r="S68" s="29">
        <f>O68+Q68</f>
        <v>0</v>
      </c>
      <c r="T68" s="29">
        <f>P68+R68</f>
        <v>0</v>
      </c>
      <c r="U68" s="29">
        <v>0</v>
      </c>
      <c r="V68" s="29">
        <v>0</v>
      </c>
      <c r="W68" s="29">
        <f>S68+U68</f>
        <v>0</v>
      </c>
      <c r="X68" s="29">
        <f>T68+V68</f>
        <v>0</v>
      </c>
      <c r="Y68" s="29">
        <v>0</v>
      </c>
      <c r="Z68" s="29">
        <v>0</v>
      </c>
      <c r="AA68" s="29">
        <f>W68+Y68</f>
        <v>0</v>
      </c>
      <c r="AB68" s="29">
        <f>X68+Z68</f>
        <v>0</v>
      </c>
      <c r="AC68" s="29">
        <v>0</v>
      </c>
      <c r="AD68" s="29">
        <v>0</v>
      </c>
      <c r="AE68" s="29">
        <f>AA68+AC68</f>
        <v>0</v>
      </c>
      <c r="AF68" s="29">
        <f>AB68+AD68</f>
        <v>0</v>
      </c>
      <c r="AG68" s="29">
        <v>0</v>
      </c>
      <c r="AH68" s="29">
        <v>0</v>
      </c>
      <c r="AI68" s="29">
        <f>AE68+AG68</f>
        <v>0</v>
      </c>
      <c r="AJ68" s="29">
        <f>AF68+AH68</f>
        <v>0</v>
      </c>
      <c r="AK68" s="29">
        <f>2775-AG68</f>
        <v>2775</v>
      </c>
      <c r="AL68" s="29">
        <v>2775</v>
      </c>
      <c r="AM68" s="29">
        <f>AI68+AK68</f>
        <v>2775</v>
      </c>
      <c r="AN68" s="29">
        <f>AJ68+AL68</f>
        <v>2775</v>
      </c>
      <c r="AO68" s="29">
        <v>1125</v>
      </c>
      <c r="AP68" s="29">
        <v>1125</v>
      </c>
      <c r="AQ68" s="29">
        <f>AM68+AO68</f>
        <v>3900</v>
      </c>
      <c r="AR68" s="29">
        <f>AN68+AP68</f>
        <v>3900</v>
      </c>
      <c r="AS68" s="29">
        <v>1125</v>
      </c>
      <c r="AT68" s="29">
        <v>1125</v>
      </c>
      <c r="AU68" s="29">
        <f>AQ68+AS68</f>
        <v>5025</v>
      </c>
      <c r="AV68" s="29">
        <f>AR68+AT68</f>
        <v>5025</v>
      </c>
      <c r="AW68" s="29">
        <v>15625</v>
      </c>
      <c r="AX68" s="29">
        <v>15625</v>
      </c>
      <c r="AY68" s="29">
        <f>AZ68</f>
        <v>30000</v>
      </c>
      <c r="AZ68" s="29">
        <v>30000</v>
      </c>
      <c r="BA68" s="55">
        <f t="shared" si="285"/>
        <v>0.45278450363196132</v>
      </c>
      <c r="BB68" s="55">
        <f t="shared" si="285"/>
        <v>0.45278450363196132</v>
      </c>
      <c r="BC68" s="29">
        <v>0</v>
      </c>
      <c r="BD68" s="29">
        <v>0</v>
      </c>
      <c r="BE68" s="29">
        <v>0</v>
      </c>
      <c r="BF68" s="29">
        <v>0</v>
      </c>
      <c r="BG68" s="29">
        <f>BC68+BE68</f>
        <v>0</v>
      </c>
      <c r="BH68" s="29">
        <f>BD68+BF68</f>
        <v>0</v>
      </c>
      <c r="BI68" s="55">
        <f t="shared" si="287"/>
        <v>1</v>
      </c>
      <c r="BJ68" s="55">
        <f t="shared" si="287"/>
        <v>1</v>
      </c>
      <c r="BK68" s="29">
        <v>33500</v>
      </c>
      <c r="BL68" s="29">
        <v>0</v>
      </c>
      <c r="BM68" s="29">
        <f>BG68+BK68</f>
        <v>33500</v>
      </c>
      <c r="BN68" s="29">
        <f>BH68+BL68</f>
        <v>0</v>
      </c>
      <c r="BO68" s="55">
        <f t="shared" si="288"/>
        <v>1</v>
      </c>
      <c r="BP68" s="55">
        <f t="shared" si="288"/>
        <v>1</v>
      </c>
      <c r="BQ68" s="29"/>
      <c r="BR68" s="29"/>
      <c r="BS68" s="29">
        <f>BM68+BQ68</f>
        <v>33500</v>
      </c>
      <c r="BT68" s="29">
        <f>BN68+BR68</f>
        <v>0</v>
      </c>
      <c r="BU68" s="55">
        <f t="shared" si="289"/>
        <v>1</v>
      </c>
      <c r="BV68" s="55">
        <f t="shared" si="289"/>
        <v>1</v>
      </c>
      <c r="BW68" s="29"/>
      <c r="BX68" s="29"/>
      <c r="BY68" s="29">
        <f>BS68+BW68</f>
        <v>33500</v>
      </c>
      <c r="BZ68" s="29">
        <f>BT68+BX68</f>
        <v>0</v>
      </c>
      <c r="CA68" s="55">
        <f t="shared" si="290"/>
        <v>1</v>
      </c>
      <c r="CB68" s="55">
        <f t="shared" si="290"/>
        <v>1</v>
      </c>
      <c r="CC68" s="29"/>
      <c r="CD68" s="29"/>
      <c r="CE68" s="29">
        <f>BY68+CC68</f>
        <v>33500</v>
      </c>
      <c r="CF68" s="29">
        <f>BZ68+CD68</f>
        <v>0</v>
      </c>
      <c r="CG68" s="55">
        <f t="shared" si="291"/>
        <v>1</v>
      </c>
      <c r="CH68" s="55">
        <f t="shared" si="291"/>
        <v>1</v>
      </c>
      <c r="CI68" s="29"/>
      <c r="CJ68" s="29"/>
      <c r="CK68" s="29">
        <f>CE68+CI68</f>
        <v>33500</v>
      </c>
      <c r="CL68" s="29">
        <f>CF68+CJ68</f>
        <v>0</v>
      </c>
      <c r="CM68" s="55">
        <f t="shared" si="292"/>
        <v>1</v>
      </c>
      <c r="CN68" s="55">
        <f t="shared" si="292"/>
        <v>1</v>
      </c>
      <c r="CO68" s="29"/>
      <c r="CP68" s="29"/>
      <c r="CQ68" s="29">
        <f>CK68+CO68</f>
        <v>33500</v>
      </c>
      <c r="CR68" s="29">
        <f>CL68+CP68</f>
        <v>0</v>
      </c>
      <c r="CS68" s="55">
        <f t="shared" si="293"/>
        <v>1</v>
      </c>
      <c r="CT68" s="55">
        <f t="shared" si="293"/>
        <v>1</v>
      </c>
      <c r="CU68" s="29"/>
      <c r="CV68" s="29"/>
      <c r="CW68" s="29">
        <f>CQ68+CU68</f>
        <v>33500</v>
      </c>
      <c r="CX68" s="29">
        <f>CR68+CV68</f>
        <v>0</v>
      </c>
      <c r="CY68" s="55">
        <f t="shared" si="294"/>
        <v>11.072072072072071</v>
      </c>
      <c r="CZ68" s="55">
        <f t="shared" si="294"/>
        <v>-1</v>
      </c>
      <c r="DA68" s="29"/>
      <c r="DB68" s="29"/>
      <c r="DC68" s="29">
        <f>CW68+DA68</f>
        <v>33500</v>
      </c>
      <c r="DD68" s="29">
        <f>CX68+DB68</f>
        <v>0</v>
      </c>
      <c r="DE68" s="55">
        <f t="shared" si="295"/>
        <v>7.5897435897435894</v>
      </c>
      <c r="DF68" s="55">
        <f t="shared" si="295"/>
        <v>-1</v>
      </c>
      <c r="DG68" s="29"/>
      <c r="DH68" s="29"/>
      <c r="DI68" s="29">
        <f>DC68+DG68</f>
        <v>33500</v>
      </c>
      <c r="DJ68" s="29">
        <f>DD68+DH68</f>
        <v>0</v>
      </c>
      <c r="DK68" s="55">
        <f t="shared" si="296"/>
        <v>5.666666666666667</v>
      </c>
      <c r="DL68" s="55">
        <f t="shared" si="296"/>
        <v>-1</v>
      </c>
      <c r="DM68" s="29"/>
      <c r="DN68" s="29"/>
      <c r="DO68" s="29"/>
      <c r="DP68" s="29"/>
      <c r="DQ68" s="29">
        <v>30000</v>
      </c>
      <c r="DR68" s="29">
        <v>30000</v>
      </c>
      <c r="DS68" s="55">
        <f>IF($AY$68=0,1,DQ68/$AY$68-1)</f>
        <v>0</v>
      </c>
      <c r="DT68" s="55">
        <f>IF($AZ$68=0,1,DR68/$AZ$68-1)</f>
        <v>0</v>
      </c>
      <c r="DU68" s="55">
        <f>IF($E$68=0,1,DQ68/$E$68-1)</f>
        <v>0.45278450363196132</v>
      </c>
      <c r="DV68" s="55">
        <f>IF($E$68=0,1,DR68/$E$68-1)</f>
        <v>0.45278450363196132</v>
      </c>
      <c r="DW68" s="2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 ht="18" customHeight="1">
      <c r="A69" s="321" t="s">
        <v>56</v>
      </c>
      <c r="B69" s="322"/>
      <c r="C69" s="29">
        <f>'[1]прогноз '!B66</f>
        <v>19189</v>
      </c>
      <c r="D69" s="29">
        <f>'[1]прогноз '!C66</f>
        <v>19189</v>
      </c>
      <c r="E69" s="29">
        <f>G69+I69+M69+Q69+U69+Y69+AC69+AG69+AK69+AO69+AS69+AW69</f>
        <v>15735</v>
      </c>
      <c r="F69" s="29">
        <f>H69+J69+N69+R69+V69+Z69+AD69+AH69+AL69+AP69+AT69+AX69</f>
        <v>15735</v>
      </c>
      <c r="G69" s="29">
        <v>1638</v>
      </c>
      <c r="H69" s="29">
        <v>1638</v>
      </c>
      <c r="I69" s="29">
        <v>1498</v>
      </c>
      <c r="J69" s="29">
        <v>1498</v>
      </c>
      <c r="K69" s="29">
        <f>G69+I69</f>
        <v>3136</v>
      </c>
      <c r="L69" s="29">
        <f>H69+J69</f>
        <v>3136</v>
      </c>
      <c r="M69" s="29">
        <v>1898</v>
      </c>
      <c r="N69" s="29">
        <v>1898</v>
      </c>
      <c r="O69" s="29">
        <f>K69+M69</f>
        <v>5034</v>
      </c>
      <c r="P69" s="29">
        <f>L69+N69</f>
        <v>5034</v>
      </c>
      <c r="Q69" s="29">
        <v>2248</v>
      </c>
      <c r="R69" s="29">
        <v>2248</v>
      </c>
      <c r="S69" s="29">
        <f>O69+Q69</f>
        <v>7282</v>
      </c>
      <c r="T69" s="29">
        <f>P69+R69</f>
        <v>7282</v>
      </c>
      <c r="U69" s="29">
        <v>1270</v>
      </c>
      <c r="V69" s="29">
        <v>1270</v>
      </c>
      <c r="W69" s="29">
        <f>S69+U69</f>
        <v>8552</v>
      </c>
      <c r="X69" s="29">
        <f>T69+V69</f>
        <v>8552</v>
      </c>
      <c r="Y69" s="29">
        <v>1181</v>
      </c>
      <c r="Z69" s="29">
        <v>1181</v>
      </c>
      <c r="AA69" s="29">
        <f>W69+Y69</f>
        <v>9733</v>
      </c>
      <c r="AB69" s="29">
        <f>X69+Z69</f>
        <v>9733</v>
      </c>
      <c r="AC69" s="29">
        <v>1177</v>
      </c>
      <c r="AD69" s="29">
        <v>1177</v>
      </c>
      <c r="AE69" s="29">
        <f>AA69+AC69</f>
        <v>10910</v>
      </c>
      <c r="AF69" s="29">
        <f>AB69+AD69</f>
        <v>10910</v>
      </c>
      <c r="AG69" s="29">
        <f>12177-G69-I69-M69-Q69-U69-Y69-AC69</f>
        <v>1267</v>
      </c>
      <c r="AH69" s="29">
        <v>1267</v>
      </c>
      <c r="AI69" s="29">
        <f>AE69+AG69</f>
        <v>12177</v>
      </c>
      <c r="AJ69" s="29">
        <f>AF69+AH69</f>
        <v>12177</v>
      </c>
      <c r="AK69" s="29">
        <f>12930-G69-I69-M69-Q69-U69-Y69-AC69-AG69</f>
        <v>753</v>
      </c>
      <c r="AL69" s="29">
        <v>753</v>
      </c>
      <c r="AM69" s="29">
        <f>AI69+AK69</f>
        <v>12930</v>
      </c>
      <c r="AN69" s="29">
        <f>AJ69+AL69</f>
        <v>12930</v>
      </c>
      <c r="AO69" s="29">
        <v>1135</v>
      </c>
      <c r="AP69" s="29">
        <v>1135</v>
      </c>
      <c r="AQ69" s="29">
        <f>AM69+AO69</f>
        <v>14065</v>
      </c>
      <c r="AR69" s="29">
        <f>AN69+AP69</f>
        <v>14065</v>
      </c>
      <c r="AS69" s="29">
        <v>1150</v>
      </c>
      <c r="AT69" s="29">
        <v>1150</v>
      </c>
      <c r="AU69" s="29">
        <f>AQ69+AS69</f>
        <v>15215</v>
      </c>
      <c r="AV69" s="29">
        <f>AR69+AT69</f>
        <v>15215</v>
      </c>
      <c r="AW69" s="29">
        <v>520</v>
      </c>
      <c r="AX69" s="29">
        <v>520</v>
      </c>
      <c r="AY69" s="29">
        <f>AZ69</f>
        <v>10000</v>
      </c>
      <c r="AZ69" s="29">
        <v>10000</v>
      </c>
      <c r="BA69" s="55">
        <f t="shared" si="285"/>
        <v>-0.36447410231966948</v>
      </c>
      <c r="BB69" s="55">
        <f t="shared" si="285"/>
        <v>-0.36447410231966948</v>
      </c>
      <c r="BC69" s="29">
        <v>779</v>
      </c>
      <c r="BD69" s="29">
        <v>779</v>
      </c>
      <c r="BE69" s="29">
        <v>969</v>
      </c>
      <c r="BF69" s="29">
        <v>969</v>
      </c>
      <c r="BG69" s="29">
        <f>BC69+BE69</f>
        <v>1748</v>
      </c>
      <c r="BH69" s="29">
        <f>BD69+BF69</f>
        <v>1748</v>
      </c>
      <c r="BI69" s="55">
        <f t="shared" si="287"/>
        <v>-0.44260204081632648</v>
      </c>
      <c r="BJ69" s="55">
        <f t="shared" si="287"/>
        <v>-0.44260204081632648</v>
      </c>
      <c r="BK69" s="29">
        <v>1419</v>
      </c>
      <c r="BL69" s="29">
        <v>1419</v>
      </c>
      <c r="BM69" s="29">
        <f>BG69+BK69</f>
        <v>3167</v>
      </c>
      <c r="BN69" s="29">
        <f>BH69+BL69</f>
        <v>3167</v>
      </c>
      <c r="BO69" s="55">
        <f t="shared" si="288"/>
        <v>-0.37087802940007941</v>
      </c>
      <c r="BP69" s="55">
        <f t="shared" si="288"/>
        <v>-0.37087802940007941</v>
      </c>
      <c r="BQ69" s="29"/>
      <c r="BR69" s="29"/>
      <c r="BS69" s="29">
        <f>BM69+BQ69</f>
        <v>3167</v>
      </c>
      <c r="BT69" s="29">
        <f>BN69+BR69</f>
        <v>3167</v>
      </c>
      <c r="BU69" s="55">
        <f t="shared" si="289"/>
        <v>-0.56509200769019508</v>
      </c>
      <c r="BV69" s="55">
        <f t="shared" si="289"/>
        <v>-0.56509200769019508</v>
      </c>
      <c r="BW69" s="29"/>
      <c r="BX69" s="29"/>
      <c r="BY69" s="29">
        <f>BS69+BW69</f>
        <v>3167</v>
      </c>
      <c r="BZ69" s="29">
        <f>BT69+BX69</f>
        <v>3167</v>
      </c>
      <c r="CA69" s="55">
        <f t="shared" si="290"/>
        <v>-0.62967726847521055</v>
      </c>
      <c r="CB69" s="55">
        <f t="shared" si="290"/>
        <v>-0.62967726847521055</v>
      </c>
      <c r="CC69" s="29"/>
      <c r="CD69" s="29"/>
      <c r="CE69" s="29">
        <f>BY69+CC69</f>
        <v>3167</v>
      </c>
      <c r="CF69" s="29">
        <f>BZ69+CD69</f>
        <v>3167</v>
      </c>
      <c r="CG69" s="55">
        <f t="shared" si="291"/>
        <v>-0.67461214425151539</v>
      </c>
      <c r="CH69" s="55">
        <f t="shared" si="291"/>
        <v>-0.67461214425151539</v>
      </c>
      <c r="CI69" s="29"/>
      <c r="CJ69" s="29"/>
      <c r="CK69" s="29">
        <f>CE69+CI69</f>
        <v>3167</v>
      </c>
      <c r="CL69" s="29">
        <f>CF69+CJ69</f>
        <v>3167</v>
      </c>
      <c r="CM69" s="55">
        <f t="shared" si="292"/>
        <v>-0.70971585701191575</v>
      </c>
      <c r="CN69" s="55">
        <f t="shared" si="292"/>
        <v>-0.70971585701191575</v>
      </c>
      <c r="CO69" s="29"/>
      <c r="CP69" s="29"/>
      <c r="CQ69" s="29">
        <f>CK69+CO69</f>
        <v>3167</v>
      </c>
      <c r="CR69" s="29">
        <f>CL69+CP69</f>
        <v>3167</v>
      </c>
      <c r="CS69" s="55">
        <f t="shared" si="293"/>
        <v>-0.73991952040732523</v>
      </c>
      <c r="CT69" s="55">
        <f t="shared" si="293"/>
        <v>-0.73991952040732523</v>
      </c>
      <c r="CU69" s="29"/>
      <c r="CV69" s="29"/>
      <c r="CW69" s="29">
        <f>CQ69+CU69</f>
        <v>3167</v>
      </c>
      <c r="CX69" s="29">
        <f>CR69+CV69</f>
        <v>3167</v>
      </c>
      <c r="CY69" s="55">
        <f t="shared" si="294"/>
        <v>-0.75506573859242077</v>
      </c>
      <c r="CZ69" s="55">
        <f t="shared" si="294"/>
        <v>-0.75506573859242077</v>
      </c>
      <c r="DA69" s="29"/>
      <c r="DB69" s="29"/>
      <c r="DC69" s="29">
        <f>CW69+DA69</f>
        <v>3167</v>
      </c>
      <c r="DD69" s="29">
        <f>CX69+DB69</f>
        <v>3167</v>
      </c>
      <c r="DE69" s="55">
        <f t="shared" si="295"/>
        <v>-0.77483114113046569</v>
      </c>
      <c r="DF69" s="55">
        <f t="shared" si="295"/>
        <v>-0.77483114113046569</v>
      </c>
      <c r="DG69" s="29"/>
      <c r="DH69" s="29"/>
      <c r="DI69" s="29">
        <f>DC69+DG69</f>
        <v>3167</v>
      </c>
      <c r="DJ69" s="29">
        <f>DD69+DH69</f>
        <v>3167</v>
      </c>
      <c r="DK69" s="55">
        <f t="shared" si="296"/>
        <v>-0.79185014788038122</v>
      </c>
      <c r="DL69" s="55">
        <f t="shared" si="296"/>
        <v>-0.79185014788038122</v>
      </c>
      <c r="DM69" s="29"/>
      <c r="DN69" s="29"/>
      <c r="DO69" s="29"/>
      <c r="DP69" s="29"/>
      <c r="DQ69" s="29">
        <v>10000</v>
      </c>
      <c r="DR69" s="29">
        <v>10000</v>
      </c>
      <c r="DS69" s="55">
        <f>IF($AY$69=0,1,DQ69/$AY$69-1)</f>
        <v>0</v>
      </c>
      <c r="DT69" s="55">
        <f>IF($AZ$69=0,1,DR69/$AZ$69-1)</f>
        <v>0</v>
      </c>
      <c r="DU69" s="55">
        <f>IF($E$69=0,1,DQ69/$E$69-1)</f>
        <v>-0.36447410231966948</v>
      </c>
      <c r="DV69" s="55">
        <f>IF($E$69=0,1,DR69/$E$69-1)</f>
        <v>-0.36447410231966948</v>
      </c>
      <c r="DW69" s="2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79" customFormat="1" ht="18" customHeight="1">
      <c r="A70" s="319" t="s">
        <v>57</v>
      </c>
      <c r="B70" s="320"/>
      <c r="C70" s="96">
        <f>C71-C72</f>
        <v>6981</v>
      </c>
      <c r="D70" s="96">
        <f t="shared" ref="D70:AZ70" si="298">D71-D72</f>
        <v>6980.8</v>
      </c>
      <c r="E70" s="96">
        <f t="shared" si="298"/>
        <v>47750</v>
      </c>
      <c r="F70" s="96">
        <f t="shared" si="298"/>
        <v>43000</v>
      </c>
      <c r="G70" s="96">
        <f t="shared" si="298"/>
        <v>0</v>
      </c>
      <c r="H70" s="96">
        <f t="shared" si="298"/>
        <v>0</v>
      </c>
      <c r="I70" s="96">
        <f t="shared" si="298"/>
        <v>-350</v>
      </c>
      <c r="J70" s="96">
        <f t="shared" si="298"/>
        <v>0</v>
      </c>
      <c r="K70" s="96">
        <f t="shared" si="298"/>
        <v>-350</v>
      </c>
      <c r="L70" s="96">
        <f t="shared" si="298"/>
        <v>0</v>
      </c>
      <c r="M70" s="96">
        <f t="shared" si="298"/>
        <v>0</v>
      </c>
      <c r="N70" s="96">
        <f t="shared" si="298"/>
        <v>0</v>
      </c>
      <c r="O70" s="96">
        <f t="shared" si="298"/>
        <v>-350</v>
      </c>
      <c r="P70" s="96">
        <f t="shared" si="298"/>
        <v>0</v>
      </c>
      <c r="Q70" s="96">
        <f t="shared" si="298"/>
        <v>12500</v>
      </c>
      <c r="R70" s="96">
        <f t="shared" si="298"/>
        <v>13000</v>
      </c>
      <c r="S70" s="96">
        <f t="shared" si="298"/>
        <v>12150</v>
      </c>
      <c r="T70" s="96">
        <f t="shared" si="298"/>
        <v>13000</v>
      </c>
      <c r="U70" s="96">
        <f t="shared" si="298"/>
        <v>-200</v>
      </c>
      <c r="V70" s="96">
        <f t="shared" si="298"/>
        <v>0</v>
      </c>
      <c r="W70" s="96">
        <f t="shared" si="298"/>
        <v>11950</v>
      </c>
      <c r="X70" s="96">
        <f t="shared" si="298"/>
        <v>13000</v>
      </c>
      <c r="Y70" s="96">
        <f t="shared" si="298"/>
        <v>20500</v>
      </c>
      <c r="Z70" s="96">
        <f t="shared" si="298"/>
        <v>20000</v>
      </c>
      <c r="AA70" s="96">
        <f t="shared" si="298"/>
        <v>32450</v>
      </c>
      <c r="AB70" s="96">
        <f t="shared" si="298"/>
        <v>33000</v>
      </c>
      <c r="AC70" s="96">
        <f t="shared" si="298"/>
        <v>0</v>
      </c>
      <c r="AD70" s="96">
        <f t="shared" si="298"/>
        <v>0</v>
      </c>
      <c r="AE70" s="96">
        <f t="shared" si="298"/>
        <v>32450</v>
      </c>
      <c r="AF70" s="96">
        <f t="shared" si="298"/>
        <v>33000</v>
      </c>
      <c r="AG70" s="96">
        <f t="shared" si="298"/>
        <v>0</v>
      </c>
      <c r="AH70" s="96">
        <f t="shared" si="298"/>
        <v>0</v>
      </c>
      <c r="AI70" s="96">
        <f t="shared" si="298"/>
        <v>32450</v>
      </c>
      <c r="AJ70" s="96">
        <f t="shared" si="298"/>
        <v>33000</v>
      </c>
      <c r="AK70" s="96">
        <f t="shared" si="298"/>
        <v>5000</v>
      </c>
      <c r="AL70" s="96">
        <f t="shared" si="298"/>
        <v>0</v>
      </c>
      <c r="AM70" s="96">
        <f t="shared" si="298"/>
        <v>37450</v>
      </c>
      <c r="AN70" s="96">
        <f t="shared" si="298"/>
        <v>33000</v>
      </c>
      <c r="AO70" s="96">
        <f t="shared" si="298"/>
        <v>300</v>
      </c>
      <c r="AP70" s="96">
        <f t="shared" si="298"/>
        <v>0</v>
      </c>
      <c r="AQ70" s="96">
        <f t="shared" si="298"/>
        <v>37750</v>
      </c>
      <c r="AR70" s="96">
        <f t="shared" si="298"/>
        <v>33000</v>
      </c>
      <c r="AS70" s="96">
        <f t="shared" si="298"/>
        <v>0</v>
      </c>
      <c r="AT70" s="96">
        <f t="shared" si="298"/>
        <v>0</v>
      </c>
      <c r="AU70" s="96">
        <f t="shared" si="298"/>
        <v>37750</v>
      </c>
      <c r="AV70" s="96">
        <f t="shared" si="298"/>
        <v>33000</v>
      </c>
      <c r="AW70" s="96">
        <f t="shared" si="298"/>
        <v>10000</v>
      </c>
      <c r="AX70" s="96">
        <f t="shared" si="298"/>
        <v>10000</v>
      </c>
      <c r="AY70" s="96">
        <f t="shared" si="298"/>
        <v>-3500</v>
      </c>
      <c r="AZ70" s="96">
        <f t="shared" si="298"/>
        <v>-3500</v>
      </c>
      <c r="BA70" s="54">
        <f t="shared" si="285"/>
        <v>-1.0732984293193717</v>
      </c>
      <c r="BB70" s="54">
        <f t="shared" si="285"/>
        <v>-1.0813953488372092</v>
      </c>
      <c r="BC70" s="96">
        <f t="shared" ref="BC70:DP70" si="299">BC71-BC72</f>
        <v>-1000</v>
      </c>
      <c r="BD70" s="96">
        <f t="shared" si="299"/>
        <v>-1000</v>
      </c>
      <c r="BE70" s="96">
        <f t="shared" si="299"/>
        <v>-1000</v>
      </c>
      <c r="BF70" s="96">
        <f t="shared" si="299"/>
        <v>-1000</v>
      </c>
      <c r="BG70" s="96">
        <f t="shared" si="299"/>
        <v>-2000</v>
      </c>
      <c r="BH70" s="96">
        <f t="shared" si="299"/>
        <v>-2000</v>
      </c>
      <c r="BI70" s="54">
        <f t="shared" si="287"/>
        <v>4.7142857142857144</v>
      </c>
      <c r="BJ70" s="54">
        <f t="shared" si="287"/>
        <v>1</v>
      </c>
      <c r="BK70" s="96">
        <f t="shared" si="299"/>
        <v>-1000</v>
      </c>
      <c r="BL70" s="96">
        <f t="shared" si="299"/>
        <v>-1000</v>
      </c>
      <c r="BM70" s="96">
        <f t="shared" si="299"/>
        <v>-3000</v>
      </c>
      <c r="BN70" s="96">
        <f t="shared" si="299"/>
        <v>-3000</v>
      </c>
      <c r="BO70" s="54">
        <f t="shared" si="288"/>
        <v>7.5714285714285712</v>
      </c>
      <c r="BP70" s="54">
        <f t="shared" si="288"/>
        <v>1</v>
      </c>
      <c r="BQ70" s="96">
        <f t="shared" si="299"/>
        <v>0</v>
      </c>
      <c r="BR70" s="96">
        <f t="shared" si="299"/>
        <v>0</v>
      </c>
      <c r="BS70" s="96">
        <f t="shared" si="299"/>
        <v>-3000</v>
      </c>
      <c r="BT70" s="96">
        <f t="shared" si="299"/>
        <v>-3000</v>
      </c>
      <c r="BU70" s="54">
        <f t="shared" si="289"/>
        <v>-1.2469135802469136</v>
      </c>
      <c r="BV70" s="54">
        <f t="shared" si="289"/>
        <v>-1.2307692307692308</v>
      </c>
      <c r="BW70" s="96">
        <f t="shared" si="299"/>
        <v>0</v>
      </c>
      <c r="BX70" s="96">
        <f t="shared" si="299"/>
        <v>0</v>
      </c>
      <c r="BY70" s="96">
        <f t="shared" si="299"/>
        <v>-3000</v>
      </c>
      <c r="BZ70" s="96">
        <f t="shared" si="299"/>
        <v>-3000</v>
      </c>
      <c r="CA70" s="54">
        <f t="shared" si="290"/>
        <v>-1.2510460251046025</v>
      </c>
      <c r="CB70" s="54">
        <f t="shared" si="290"/>
        <v>-1.2307692307692308</v>
      </c>
      <c r="CC70" s="96">
        <f t="shared" si="299"/>
        <v>0</v>
      </c>
      <c r="CD70" s="96">
        <f t="shared" si="299"/>
        <v>0</v>
      </c>
      <c r="CE70" s="96">
        <f t="shared" si="299"/>
        <v>-3000</v>
      </c>
      <c r="CF70" s="96">
        <f t="shared" si="299"/>
        <v>-3000</v>
      </c>
      <c r="CG70" s="54">
        <f t="shared" si="291"/>
        <v>-1.0924499229583975</v>
      </c>
      <c r="CH70" s="54">
        <f t="shared" si="291"/>
        <v>-1.0909090909090908</v>
      </c>
      <c r="CI70" s="96">
        <f t="shared" si="299"/>
        <v>0</v>
      </c>
      <c r="CJ70" s="96">
        <f t="shared" si="299"/>
        <v>0</v>
      </c>
      <c r="CK70" s="96">
        <f t="shared" si="299"/>
        <v>-3000</v>
      </c>
      <c r="CL70" s="96">
        <f t="shared" si="299"/>
        <v>-3000</v>
      </c>
      <c r="CM70" s="54">
        <f t="shared" si="292"/>
        <v>-1.0924499229583975</v>
      </c>
      <c r="CN70" s="54">
        <f t="shared" si="292"/>
        <v>-1.0909090909090908</v>
      </c>
      <c r="CO70" s="96">
        <f t="shared" si="299"/>
        <v>0</v>
      </c>
      <c r="CP70" s="96">
        <f t="shared" si="299"/>
        <v>0</v>
      </c>
      <c r="CQ70" s="96">
        <f t="shared" si="299"/>
        <v>-3000</v>
      </c>
      <c r="CR70" s="96">
        <f t="shared" si="299"/>
        <v>-3000</v>
      </c>
      <c r="CS70" s="54">
        <f t="shared" si="293"/>
        <v>-1.0924499229583975</v>
      </c>
      <c r="CT70" s="54">
        <f t="shared" si="293"/>
        <v>-1.0909090909090908</v>
      </c>
      <c r="CU70" s="96">
        <f t="shared" si="299"/>
        <v>0</v>
      </c>
      <c r="CV70" s="96">
        <f t="shared" si="299"/>
        <v>0</v>
      </c>
      <c r="CW70" s="96">
        <f t="shared" si="299"/>
        <v>-3000</v>
      </c>
      <c r="CX70" s="96">
        <f t="shared" si="299"/>
        <v>-3000</v>
      </c>
      <c r="CY70" s="54">
        <f t="shared" si="294"/>
        <v>-1.0801068090787718</v>
      </c>
      <c r="CZ70" s="54">
        <f t="shared" si="294"/>
        <v>-1.0909090909090908</v>
      </c>
      <c r="DA70" s="96">
        <f t="shared" si="299"/>
        <v>0</v>
      </c>
      <c r="DB70" s="96">
        <f t="shared" si="299"/>
        <v>0</v>
      </c>
      <c r="DC70" s="96">
        <f t="shared" si="299"/>
        <v>-3000</v>
      </c>
      <c r="DD70" s="96">
        <f t="shared" si="299"/>
        <v>-3000</v>
      </c>
      <c r="DE70" s="54">
        <f t="shared" si="295"/>
        <v>-1.0794701986754967</v>
      </c>
      <c r="DF70" s="54">
        <f t="shared" si="295"/>
        <v>-1.0909090909090908</v>
      </c>
      <c r="DG70" s="96">
        <f t="shared" si="299"/>
        <v>0</v>
      </c>
      <c r="DH70" s="96">
        <f t="shared" si="299"/>
        <v>0</v>
      </c>
      <c r="DI70" s="96">
        <f t="shared" si="299"/>
        <v>-3000</v>
      </c>
      <c r="DJ70" s="96">
        <f t="shared" si="299"/>
        <v>-3000</v>
      </c>
      <c r="DK70" s="54">
        <f t="shared" si="296"/>
        <v>-1.0794701986754967</v>
      </c>
      <c r="DL70" s="54">
        <f t="shared" si="296"/>
        <v>-1.0909090909090908</v>
      </c>
      <c r="DM70" s="96">
        <f t="shared" si="299"/>
        <v>0</v>
      </c>
      <c r="DN70" s="96">
        <f t="shared" si="299"/>
        <v>0</v>
      </c>
      <c r="DO70" s="96">
        <f t="shared" si="299"/>
        <v>0</v>
      </c>
      <c r="DP70" s="96">
        <f t="shared" si="299"/>
        <v>0</v>
      </c>
      <c r="DQ70" s="96">
        <f t="shared" ref="DQ70:DR70" si="300">DQ71-DQ72</f>
        <v>6550</v>
      </c>
      <c r="DR70" s="96">
        <f t="shared" si="300"/>
        <v>-3500</v>
      </c>
      <c r="DS70" s="54">
        <f>IF($AY$70=0,1,DQ70/$AY$70-1)</f>
        <v>-2.8714285714285714</v>
      </c>
      <c r="DT70" s="54">
        <f>IF($AZ$70=0,1,DR70/$AZ$70-1)</f>
        <v>0</v>
      </c>
      <c r="DU70" s="54">
        <f>IF($E$70=0,1,DQ70/$E$70-1)</f>
        <v>-0.86282722513089005</v>
      </c>
      <c r="DV70" s="54">
        <f>IF($E$70=0,1,DR70/$E$70-1)</f>
        <v>-1.0732984293193717</v>
      </c>
      <c r="DW70" s="2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</row>
    <row r="71" spans="1:268" s="64" customFormat="1" ht="18" customHeight="1">
      <c r="A71" s="321" t="s">
        <v>55</v>
      </c>
      <c r="B71" s="322"/>
      <c r="C71" s="29">
        <f>'[1]прогноз '!B68</f>
        <v>15000</v>
      </c>
      <c r="D71" s="29">
        <f>'[1]прогноз '!C68</f>
        <v>15000</v>
      </c>
      <c r="E71" s="29">
        <v>58800</v>
      </c>
      <c r="F71" s="29">
        <f>H71+J71+N71+R71+V71+Z71+AD71+AH71+AL71+AP71+AT71+AX71</f>
        <v>53000</v>
      </c>
      <c r="G71" s="29">
        <v>0</v>
      </c>
      <c r="H71" s="29">
        <v>0</v>
      </c>
      <c r="I71" s="29">
        <v>0</v>
      </c>
      <c r="J71" s="29">
        <v>0</v>
      </c>
      <c r="K71" s="29">
        <f t="shared" ref="K71:L72" si="301">G71+I71</f>
        <v>0</v>
      </c>
      <c r="L71" s="29">
        <f t="shared" si="301"/>
        <v>0</v>
      </c>
      <c r="M71" s="29">
        <v>0</v>
      </c>
      <c r="N71" s="29">
        <v>0</v>
      </c>
      <c r="O71" s="29">
        <f t="shared" ref="O71:P72" si="302">K71+M71</f>
        <v>0</v>
      </c>
      <c r="P71" s="29">
        <f t="shared" si="302"/>
        <v>0</v>
      </c>
      <c r="Q71" s="29">
        <v>13000</v>
      </c>
      <c r="R71" s="29">
        <v>13000</v>
      </c>
      <c r="S71" s="29">
        <f t="shared" ref="S71:T72" si="303">O71+Q71</f>
        <v>13000</v>
      </c>
      <c r="T71" s="29">
        <f t="shared" si="303"/>
        <v>13000</v>
      </c>
      <c r="U71" s="29">
        <v>0</v>
      </c>
      <c r="V71" s="29">
        <v>0</v>
      </c>
      <c r="W71" s="29">
        <f t="shared" ref="W71:X72" si="304">S71+U71</f>
        <v>13000</v>
      </c>
      <c r="X71" s="29">
        <f t="shared" si="304"/>
        <v>13000</v>
      </c>
      <c r="Y71" s="29">
        <v>20500</v>
      </c>
      <c r="Z71" s="29">
        <v>20000</v>
      </c>
      <c r="AA71" s="29">
        <f t="shared" ref="AA71:AB72" si="305">W71+Y71</f>
        <v>33500</v>
      </c>
      <c r="AB71" s="29">
        <f t="shared" si="305"/>
        <v>33000</v>
      </c>
      <c r="AC71" s="29">
        <v>10000</v>
      </c>
      <c r="AD71" s="29">
        <v>10000</v>
      </c>
      <c r="AE71" s="29">
        <f t="shared" ref="AE71:AF72" si="306">AA71+AC71</f>
        <v>43500</v>
      </c>
      <c r="AF71" s="29">
        <f t="shared" si="306"/>
        <v>43000</v>
      </c>
      <c r="AG71" s="29">
        <f>43500-Q71-U71-Y71-AC71</f>
        <v>0</v>
      </c>
      <c r="AH71" s="29">
        <v>0</v>
      </c>
      <c r="AI71" s="29">
        <f t="shared" ref="AI71:AJ72" si="307">AE71+AG71</f>
        <v>43500</v>
      </c>
      <c r="AJ71" s="29">
        <f t="shared" si="307"/>
        <v>43000</v>
      </c>
      <c r="AK71" s="29">
        <f>48500-Q71-U71-Y71-AC71</f>
        <v>5000</v>
      </c>
      <c r="AL71" s="29">
        <v>0</v>
      </c>
      <c r="AM71" s="29">
        <f t="shared" ref="AM71:AN72" si="308">AI71+AK71</f>
        <v>48500</v>
      </c>
      <c r="AN71" s="29">
        <f t="shared" si="308"/>
        <v>43000</v>
      </c>
      <c r="AO71" s="29">
        <f>48800-AK71-AG71-AC71-Y71-U71-Q71-M71-I71-G71</f>
        <v>300</v>
      </c>
      <c r="AP71" s="29">
        <v>0</v>
      </c>
      <c r="AQ71" s="29">
        <f t="shared" ref="AQ71:AR72" si="309">AM71+AO71</f>
        <v>48800</v>
      </c>
      <c r="AR71" s="29">
        <f t="shared" si="309"/>
        <v>43000</v>
      </c>
      <c r="AS71" s="29">
        <v>0</v>
      </c>
      <c r="AT71" s="29">
        <v>0</v>
      </c>
      <c r="AU71" s="29">
        <f t="shared" ref="AU71:AV72" si="310">AQ71+AS71</f>
        <v>48800</v>
      </c>
      <c r="AV71" s="29">
        <f t="shared" si="310"/>
        <v>43000</v>
      </c>
      <c r="AW71" s="29">
        <v>10000</v>
      </c>
      <c r="AX71" s="29">
        <v>10000</v>
      </c>
      <c r="AY71" s="29">
        <f>AZ71</f>
        <v>45000</v>
      </c>
      <c r="AZ71" s="29">
        <v>45000</v>
      </c>
      <c r="BA71" s="55">
        <f t="shared" si="285"/>
        <v>-0.23469387755102045</v>
      </c>
      <c r="BB71" s="55">
        <f t="shared" si="285"/>
        <v>-0.15094339622641506</v>
      </c>
      <c r="BC71" s="29">
        <v>0</v>
      </c>
      <c r="BD71" s="29">
        <v>0</v>
      </c>
      <c r="BE71" s="29">
        <v>0</v>
      </c>
      <c r="BF71" s="29">
        <v>0</v>
      </c>
      <c r="BG71" s="29">
        <f t="shared" ref="BG71:BH72" si="311">BC71+BE71</f>
        <v>0</v>
      </c>
      <c r="BH71" s="29">
        <f t="shared" si="311"/>
        <v>0</v>
      </c>
      <c r="BI71" s="55">
        <f t="shared" si="287"/>
        <v>1</v>
      </c>
      <c r="BJ71" s="55">
        <f t="shared" si="287"/>
        <v>1</v>
      </c>
      <c r="BK71" s="29">
        <v>0</v>
      </c>
      <c r="BL71" s="29">
        <v>0</v>
      </c>
      <c r="BM71" s="29">
        <f t="shared" ref="BM71:BN72" si="312">BG71+BK71</f>
        <v>0</v>
      </c>
      <c r="BN71" s="29">
        <f t="shared" si="312"/>
        <v>0</v>
      </c>
      <c r="BO71" s="55">
        <f t="shared" si="288"/>
        <v>1</v>
      </c>
      <c r="BP71" s="55">
        <f t="shared" si="288"/>
        <v>1</v>
      </c>
      <c r="BQ71" s="29"/>
      <c r="BR71" s="29"/>
      <c r="BS71" s="29">
        <f t="shared" ref="BS71:BT72" si="313">BM71+BQ71</f>
        <v>0</v>
      </c>
      <c r="BT71" s="29">
        <f t="shared" si="313"/>
        <v>0</v>
      </c>
      <c r="BU71" s="55">
        <f t="shared" si="289"/>
        <v>-1</v>
      </c>
      <c r="BV71" s="55">
        <f t="shared" si="289"/>
        <v>-1</v>
      </c>
      <c r="BW71" s="29"/>
      <c r="BX71" s="29"/>
      <c r="BY71" s="29">
        <f t="shared" ref="BY71:BZ72" si="314">BS71+BW71</f>
        <v>0</v>
      </c>
      <c r="BZ71" s="29">
        <f t="shared" si="314"/>
        <v>0</v>
      </c>
      <c r="CA71" s="55">
        <f t="shared" si="290"/>
        <v>-1</v>
      </c>
      <c r="CB71" s="55">
        <f t="shared" si="290"/>
        <v>-1</v>
      </c>
      <c r="CC71" s="29"/>
      <c r="CD71" s="29"/>
      <c r="CE71" s="29">
        <f t="shared" ref="CE71:CF72" si="315">BY71+CC71</f>
        <v>0</v>
      </c>
      <c r="CF71" s="29">
        <f t="shared" si="315"/>
        <v>0</v>
      </c>
      <c r="CG71" s="55">
        <f t="shared" si="291"/>
        <v>-1</v>
      </c>
      <c r="CH71" s="55">
        <f t="shared" si="291"/>
        <v>-1</v>
      </c>
      <c r="CI71" s="29"/>
      <c r="CJ71" s="29"/>
      <c r="CK71" s="29">
        <f t="shared" ref="CK71:CL72" si="316">CE71+CI71</f>
        <v>0</v>
      </c>
      <c r="CL71" s="29">
        <f t="shared" si="316"/>
        <v>0</v>
      </c>
      <c r="CM71" s="55">
        <f t="shared" si="292"/>
        <v>-1</v>
      </c>
      <c r="CN71" s="55">
        <f t="shared" si="292"/>
        <v>-1</v>
      </c>
      <c r="CO71" s="29"/>
      <c r="CP71" s="29"/>
      <c r="CQ71" s="29">
        <f t="shared" ref="CQ71:CR72" si="317">CK71+CO71</f>
        <v>0</v>
      </c>
      <c r="CR71" s="29">
        <f t="shared" si="317"/>
        <v>0</v>
      </c>
      <c r="CS71" s="55">
        <f t="shared" si="293"/>
        <v>-1</v>
      </c>
      <c r="CT71" s="55">
        <f t="shared" si="293"/>
        <v>-1</v>
      </c>
      <c r="CU71" s="29"/>
      <c r="CV71" s="29"/>
      <c r="CW71" s="29">
        <f t="shared" ref="CW71:CX72" si="318">CQ71+CU71</f>
        <v>0</v>
      </c>
      <c r="CX71" s="29">
        <f t="shared" si="318"/>
        <v>0</v>
      </c>
      <c r="CY71" s="55">
        <f t="shared" si="294"/>
        <v>-1</v>
      </c>
      <c r="CZ71" s="55">
        <f t="shared" si="294"/>
        <v>-1</v>
      </c>
      <c r="DA71" s="29"/>
      <c r="DB71" s="29"/>
      <c r="DC71" s="29">
        <f t="shared" ref="DC71:DD72" si="319">CW71+DA71</f>
        <v>0</v>
      </c>
      <c r="DD71" s="29">
        <f t="shared" si="319"/>
        <v>0</v>
      </c>
      <c r="DE71" s="55">
        <f t="shared" si="295"/>
        <v>-1</v>
      </c>
      <c r="DF71" s="55">
        <f t="shared" si="295"/>
        <v>-1</v>
      </c>
      <c r="DG71" s="29"/>
      <c r="DH71" s="29"/>
      <c r="DI71" s="29">
        <f t="shared" ref="DI71:DJ72" si="320">DC71+DG71</f>
        <v>0</v>
      </c>
      <c r="DJ71" s="29">
        <f t="shared" si="320"/>
        <v>0</v>
      </c>
      <c r="DK71" s="55">
        <f t="shared" si="296"/>
        <v>-1</v>
      </c>
      <c r="DL71" s="55">
        <f t="shared" si="296"/>
        <v>-1</v>
      </c>
      <c r="DM71" s="29"/>
      <c r="DN71" s="29"/>
      <c r="DO71" s="29"/>
      <c r="DP71" s="29"/>
      <c r="DQ71" s="29">
        <v>59650</v>
      </c>
      <c r="DR71" s="29">
        <v>45000</v>
      </c>
      <c r="DS71" s="55">
        <f>IF($AY$71=0,1,DQ71/$AY$71-1)</f>
        <v>0.3255555555555556</v>
      </c>
      <c r="DT71" s="55">
        <f>IF($AZ$71=0,1,DR71/$AZ$71-1)</f>
        <v>0</v>
      </c>
      <c r="DU71" s="55">
        <f>IF($E$71=0,1,DQ71/$E$71-1)</f>
        <v>1.4455782312925214E-2</v>
      </c>
      <c r="DV71" s="55">
        <f>IF($E$71=0,1,DR71/$E$71-1)</f>
        <v>-0.23469387755102045</v>
      </c>
      <c r="DW71" s="25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" customHeight="1">
      <c r="A72" s="321" t="s">
        <v>56</v>
      </c>
      <c r="B72" s="322"/>
      <c r="C72" s="29">
        <f>'[1]прогноз '!B69</f>
        <v>8019</v>
      </c>
      <c r="D72" s="29">
        <f>'[1]прогноз '!C69</f>
        <v>8019.2</v>
      </c>
      <c r="E72" s="29">
        <v>11050</v>
      </c>
      <c r="F72" s="29">
        <f>H72+J72+N72+R72+V72+Z72+AD72+AH72+AL72+AP72+AT72+AX72</f>
        <v>10000</v>
      </c>
      <c r="G72" s="29">
        <v>0</v>
      </c>
      <c r="H72" s="29">
        <v>0</v>
      </c>
      <c r="I72" s="29">
        <v>350</v>
      </c>
      <c r="J72" s="29">
        <v>0</v>
      </c>
      <c r="K72" s="29">
        <f t="shared" si="301"/>
        <v>350</v>
      </c>
      <c r="L72" s="29">
        <f t="shared" si="301"/>
        <v>0</v>
      </c>
      <c r="M72" s="29">
        <v>0</v>
      </c>
      <c r="N72" s="29">
        <v>0</v>
      </c>
      <c r="O72" s="29">
        <f t="shared" si="302"/>
        <v>350</v>
      </c>
      <c r="P72" s="29">
        <f t="shared" si="302"/>
        <v>0</v>
      </c>
      <c r="Q72" s="29">
        <v>500</v>
      </c>
      <c r="R72" s="29">
        <v>0</v>
      </c>
      <c r="S72" s="29">
        <f t="shared" si="303"/>
        <v>850</v>
      </c>
      <c r="T72" s="29">
        <f t="shared" si="303"/>
        <v>0</v>
      </c>
      <c r="U72" s="29">
        <v>200</v>
      </c>
      <c r="V72" s="29">
        <v>0</v>
      </c>
      <c r="W72" s="29">
        <f t="shared" si="304"/>
        <v>1050</v>
      </c>
      <c r="X72" s="29">
        <f t="shared" si="304"/>
        <v>0</v>
      </c>
      <c r="Y72" s="29">
        <v>0</v>
      </c>
      <c r="Z72" s="29">
        <v>0</v>
      </c>
      <c r="AA72" s="29">
        <f t="shared" si="305"/>
        <v>1050</v>
      </c>
      <c r="AB72" s="29">
        <f t="shared" si="305"/>
        <v>0</v>
      </c>
      <c r="AC72" s="29">
        <v>10000</v>
      </c>
      <c r="AD72" s="29">
        <v>10000</v>
      </c>
      <c r="AE72" s="29">
        <f t="shared" si="306"/>
        <v>11050</v>
      </c>
      <c r="AF72" s="29">
        <f t="shared" si="306"/>
        <v>10000</v>
      </c>
      <c r="AG72" s="29">
        <f>11050-G72-I72-M72-Q72-U72-Y72-AC72</f>
        <v>0</v>
      </c>
      <c r="AH72" s="29">
        <f>10000-AD72</f>
        <v>0</v>
      </c>
      <c r="AI72" s="29">
        <f t="shared" si="307"/>
        <v>11050</v>
      </c>
      <c r="AJ72" s="29">
        <f t="shared" si="307"/>
        <v>10000</v>
      </c>
      <c r="AK72" s="29">
        <v>0</v>
      </c>
      <c r="AL72" s="29">
        <v>0</v>
      </c>
      <c r="AM72" s="29">
        <f t="shared" si="308"/>
        <v>11050</v>
      </c>
      <c r="AN72" s="29">
        <f t="shared" si="308"/>
        <v>10000</v>
      </c>
      <c r="AO72" s="29">
        <v>0</v>
      </c>
      <c r="AP72" s="29">
        <v>0</v>
      </c>
      <c r="AQ72" s="29">
        <f t="shared" si="309"/>
        <v>11050</v>
      </c>
      <c r="AR72" s="29">
        <f t="shared" si="309"/>
        <v>10000</v>
      </c>
      <c r="AS72" s="29">
        <v>0</v>
      </c>
      <c r="AT72" s="29">
        <v>0</v>
      </c>
      <c r="AU72" s="29">
        <f t="shared" si="310"/>
        <v>11050</v>
      </c>
      <c r="AV72" s="29">
        <f t="shared" si="310"/>
        <v>10000</v>
      </c>
      <c r="AW72" s="29">
        <v>0</v>
      </c>
      <c r="AX72" s="29">
        <v>0</v>
      </c>
      <c r="AY72" s="29">
        <f>AZ72</f>
        <v>48500</v>
      </c>
      <c r="AZ72" s="29">
        <v>48500</v>
      </c>
      <c r="BA72" s="55">
        <f t="shared" si="285"/>
        <v>3.3891402714932131</v>
      </c>
      <c r="BB72" s="55">
        <f t="shared" si="285"/>
        <v>3.8499999999999996</v>
      </c>
      <c r="BC72" s="29">
        <v>1000</v>
      </c>
      <c r="BD72" s="29">
        <v>1000</v>
      </c>
      <c r="BE72" s="29">
        <v>1000</v>
      </c>
      <c r="BF72" s="29">
        <v>1000</v>
      </c>
      <c r="BG72" s="29">
        <f t="shared" si="311"/>
        <v>2000</v>
      </c>
      <c r="BH72" s="29">
        <f t="shared" si="311"/>
        <v>2000</v>
      </c>
      <c r="BI72" s="55">
        <f t="shared" si="287"/>
        <v>4.7142857142857144</v>
      </c>
      <c r="BJ72" s="55">
        <f t="shared" si="287"/>
        <v>1</v>
      </c>
      <c r="BK72" s="29">
        <v>1000</v>
      </c>
      <c r="BL72" s="29">
        <v>1000</v>
      </c>
      <c r="BM72" s="29">
        <f t="shared" si="312"/>
        <v>3000</v>
      </c>
      <c r="BN72" s="29">
        <f t="shared" si="312"/>
        <v>3000</v>
      </c>
      <c r="BO72" s="55">
        <f t="shared" si="288"/>
        <v>7.5714285714285712</v>
      </c>
      <c r="BP72" s="55">
        <f t="shared" si="288"/>
        <v>1</v>
      </c>
      <c r="BQ72" s="29"/>
      <c r="BR72" s="29"/>
      <c r="BS72" s="29">
        <f t="shared" si="313"/>
        <v>3000</v>
      </c>
      <c r="BT72" s="29">
        <f t="shared" si="313"/>
        <v>3000</v>
      </c>
      <c r="BU72" s="55">
        <f t="shared" si="289"/>
        <v>2.5294117647058822</v>
      </c>
      <c r="BV72" s="55">
        <f t="shared" si="289"/>
        <v>1</v>
      </c>
      <c r="BW72" s="29"/>
      <c r="BX72" s="29"/>
      <c r="BY72" s="29">
        <f t="shared" si="314"/>
        <v>3000</v>
      </c>
      <c r="BZ72" s="29">
        <f t="shared" si="314"/>
        <v>3000</v>
      </c>
      <c r="CA72" s="55">
        <f t="shared" si="290"/>
        <v>1.8571428571428572</v>
      </c>
      <c r="CB72" s="55">
        <f t="shared" si="290"/>
        <v>1</v>
      </c>
      <c r="CC72" s="29"/>
      <c r="CD72" s="29"/>
      <c r="CE72" s="29">
        <f t="shared" si="315"/>
        <v>3000</v>
      </c>
      <c r="CF72" s="29">
        <f t="shared" si="315"/>
        <v>3000</v>
      </c>
      <c r="CG72" s="55">
        <f t="shared" si="291"/>
        <v>1.8571428571428572</v>
      </c>
      <c r="CH72" s="55">
        <f t="shared" si="291"/>
        <v>1</v>
      </c>
      <c r="CI72" s="29"/>
      <c r="CJ72" s="29"/>
      <c r="CK72" s="29">
        <f t="shared" si="316"/>
        <v>3000</v>
      </c>
      <c r="CL72" s="29">
        <f t="shared" si="316"/>
        <v>3000</v>
      </c>
      <c r="CM72" s="55">
        <f t="shared" si="292"/>
        <v>-0.72850678733031682</v>
      </c>
      <c r="CN72" s="55">
        <f t="shared" si="292"/>
        <v>-0.7</v>
      </c>
      <c r="CO72" s="29"/>
      <c r="CP72" s="29"/>
      <c r="CQ72" s="29">
        <f t="shared" si="317"/>
        <v>3000</v>
      </c>
      <c r="CR72" s="29">
        <f t="shared" si="317"/>
        <v>3000</v>
      </c>
      <c r="CS72" s="55">
        <f t="shared" si="293"/>
        <v>-0.72850678733031682</v>
      </c>
      <c r="CT72" s="55">
        <f t="shared" si="293"/>
        <v>-0.7</v>
      </c>
      <c r="CU72" s="29"/>
      <c r="CV72" s="29"/>
      <c r="CW72" s="29">
        <f t="shared" si="318"/>
        <v>3000</v>
      </c>
      <c r="CX72" s="29">
        <f t="shared" si="318"/>
        <v>3000</v>
      </c>
      <c r="CY72" s="55">
        <f t="shared" si="294"/>
        <v>-0.72850678733031682</v>
      </c>
      <c r="CZ72" s="55">
        <f t="shared" si="294"/>
        <v>-0.7</v>
      </c>
      <c r="DA72" s="29"/>
      <c r="DB72" s="29"/>
      <c r="DC72" s="29">
        <f t="shared" si="319"/>
        <v>3000</v>
      </c>
      <c r="DD72" s="29">
        <f t="shared" si="319"/>
        <v>3000</v>
      </c>
      <c r="DE72" s="55">
        <f t="shared" si="295"/>
        <v>-0.72850678733031682</v>
      </c>
      <c r="DF72" s="55">
        <f t="shared" si="295"/>
        <v>-0.7</v>
      </c>
      <c r="DG72" s="29"/>
      <c r="DH72" s="29"/>
      <c r="DI72" s="29">
        <f t="shared" si="320"/>
        <v>3000</v>
      </c>
      <c r="DJ72" s="29">
        <f t="shared" si="320"/>
        <v>3000</v>
      </c>
      <c r="DK72" s="55">
        <f t="shared" si="296"/>
        <v>-0.72850678733031682</v>
      </c>
      <c r="DL72" s="55">
        <f t="shared" si="296"/>
        <v>-0.7</v>
      </c>
      <c r="DM72" s="29"/>
      <c r="DN72" s="29"/>
      <c r="DO72" s="29"/>
      <c r="DP72" s="29"/>
      <c r="DQ72" s="29">
        <v>53100</v>
      </c>
      <c r="DR72" s="29">
        <v>48500</v>
      </c>
      <c r="DS72" s="55">
        <f>IF($AY$72=0,1,DQ72/$AY$72-1)</f>
        <v>9.4845360824742375E-2</v>
      </c>
      <c r="DT72" s="55">
        <f>IF($AZ$72=0,1,DR72/$AZ$72-1)</f>
        <v>0</v>
      </c>
      <c r="DU72" s="55">
        <f>IF($E$72=0,1,DQ72/$E$72-1)</f>
        <v>3.8054298642533935</v>
      </c>
      <c r="DV72" s="55">
        <f>IF($E$72=0,1,DR72/$E$72-1)</f>
        <v>3.3891402714932131</v>
      </c>
      <c r="DW72" s="25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75" customFormat="1" ht="18" customHeight="1">
      <c r="A73" s="319" t="s">
        <v>58</v>
      </c>
      <c r="B73" s="320"/>
      <c r="C73" s="96">
        <f t="shared" ref="C73:AZ73" si="321">C74-C75</f>
        <v>2650</v>
      </c>
      <c r="D73" s="96">
        <f t="shared" si="321"/>
        <v>2650</v>
      </c>
      <c r="E73" s="96">
        <f t="shared" si="321"/>
        <v>-353</v>
      </c>
      <c r="F73" s="96">
        <f t="shared" si="321"/>
        <v>-1373</v>
      </c>
      <c r="G73" s="96">
        <f t="shared" si="321"/>
        <v>0</v>
      </c>
      <c r="H73" s="96">
        <f t="shared" si="321"/>
        <v>400</v>
      </c>
      <c r="I73" s="96">
        <f t="shared" si="321"/>
        <v>-38</v>
      </c>
      <c r="J73" s="96">
        <f t="shared" si="321"/>
        <v>400</v>
      </c>
      <c r="K73" s="96">
        <f t="shared" si="321"/>
        <v>-38</v>
      </c>
      <c r="L73" s="96">
        <f t="shared" si="321"/>
        <v>800</v>
      </c>
      <c r="M73" s="96">
        <f t="shared" si="321"/>
        <v>-38</v>
      </c>
      <c r="N73" s="96">
        <f t="shared" si="321"/>
        <v>400</v>
      </c>
      <c r="O73" s="96">
        <f t="shared" si="321"/>
        <v>-76</v>
      </c>
      <c r="P73" s="96">
        <f t="shared" si="321"/>
        <v>1200</v>
      </c>
      <c r="Q73" s="96">
        <f t="shared" si="321"/>
        <v>0</v>
      </c>
      <c r="R73" s="96">
        <f t="shared" si="321"/>
        <v>400</v>
      </c>
      <c r="S73" s="96">
        <f t="shared" si="321"/>
        <v>-76</v>
      </c>
      <c r="T73" s="96">
        <f t="shared" si="321"/>
        <v>1600</v>
      </c>
      <c r="U73" s="96">
        <f t="shared" si="321"/>
        <v>-76</v>
      </c>
      <c r="V73" s="96">
        <f t="shared" si="321"/>
        <v>0</v>
      </c>
      <c r="W73" s="96">
        <f t="shared" si="321"/>
        <v>-152</v>
      </c>
      <c r="X73" s="96">
        <f t="shared" si="321"/>
        <v>1600</v>
      </c>
      <c r="Y73" s="96">
        <f t="shared" si="321"/>
        <v>0</v>
      </c>
      <c r="Z73" s="96">
        <f t="shared" si="321"/>
        <v>0</v>
      </c>
      <c r="AA73" s="96">
        <f t="shared" si="321"/>
        <v>-152</v>
      </c>
      <c r="AB73" s="96">
        <f t="shared" si="321"/>
        <v>1600</v>
      </c>
      <c r="AC73" s="96">
        <f t="shared" si="321"/>
        <v>0</v>
      </c>
      <c r="AD73" s="96">
        <f t="shared" si="321"/>
        <v>0</v>
      </c>
      <c r="AE73" s="96">
        <f t="shared" si="321"/>
        <v>-152</v>
      </c>
      <c r="AF73" s="96">
        <f t="shared" si="321"/>
        <v>1600</v>
      </c>
      <c r="AG73" s="96">
        <f t="shared" si="321"/>
        <v>0</v>
      </c>
      <c r="AH73" s="96">
        <f t="shared" si="321"/>
        <v>0</v>
      </c>
      <c r="AI73" s="96">
        <f t="shared" si="321"/>
        <v>-152</v>
      </c>
      <c r="AJ73" s="96">
        <f t="shared" si="321"/>
        <v>1600</v>
      </c>
      <c r="AK73" s="96">
        <f t="shared" si="321"/>
        <v>0</v>
      </c>
      <c r="AL73" s="96">
        <f t="shared" si="321"/>
        <v>27</v>
      </c>
      <c r="AM73" s="96">
        <f t="shared" si="321"/>
        <v>-152</v>
      </c>
      <c r="AN73" s="96">
        <f t="shared" si="321"/>
        <v>1627</v>
      </c>
      <c r="AO73" s="96">
        <f t="shared" si="321"/>
        <v>-190</v>
      </c>
      <c r="AP73" s="96">
        <f t="shared" si="321"/>
        <v>0</v>
      </c>
      <c r="AQ73" s="96">
        <f t="shared" si="321"/>
        <v>-342</v>
      </c>
      <c r="AR73" s="96">
        <f t="shared" si="321"/>
        <v>1627</v>
      </c>
      <c r="AS73" s="96">
        <f t="shared" si="321"/>
        <v>-38</v>
      </c>
      <c r="AT73" s="96">
        <f t="shared" si="321"/>
        <v>0</v>
      </c>
      <c r="AU73" s="96">
        <f t="shared" si="321"/>
        <v>-380</v>
      </c>
      <c r="AV73" s="96">
        <f t="shared" si="321"/>
        <v>1627</v>
      </c>
      <c r="AW73" s="96">
        <f t="shared" si="321"/>
        <v>0</v>
      </c>
      <c r="AX73" s="96">
        <f t="shared" si="321"/>
        <v>0</v>
      </c>
      <c r="AY73" s="96">
        <f t="shared" si="321"/>
        <v>-228</v>
      </c>
      <c r="AZ73" s="96">
        <f t="shared" si="321"/>
        <v>0</v>
      </c>
      <c r="BA73" s="54">
        <f t="shared" si="285"/>
        <v>-0.3541076487252125</v>
      </c>
      <c r="BB73" s="54">
        <f t="shared" si="285"/>
        <v>-1</v>
      </c>
      <c r="BC73" s="96">
        <f t="shared" ref="BC73:DP73" si="322">BC74-BC75</f>
        <v>-38</v>
      </c>
      <c r="BD73" s="96">
        <f t="shared" si="322"/>
        <v>0</v>
      </c>
      <c r="BE73" s="96">
        <f t="shared" si="322"/>
        <v>-76</v>
      </c>
      <c r="BF73" s="96">
        <f t="shared" si="322"/>
        <v>0</v>
      </c>
      <c r="BG73" s="96">
        <f t="shared" si="322"/>
        <v>-114</v>
      </c>
      <c r="BH73" s="96">
        <f t="shared" si="322"/>
        <v>0</v>
      </c>
      <c r="BI73" s="54">
        <f t="shared" si="287"/>
        <v>2</v>
      </c>
      <c r="BJ73" s="54">
        <f t="shared" si="287"/>
        <v>-1</v>
      </c>
      <c r="BK73" s="96">
        <f t="shared" si="322"/>
        <v>-76</v>
      </c>
      <c r="BL73" s="96">
        <f t="shared" si="322"/>
        <v>0</v>
      </c>
      <c r="BM73" s="96">
        <f t="shared" si="322"/>
        <v>-190</v>
      </c>
      <c r="BN73" s="96">
        <f t="shared" si="322"/>
        <v>0</v>
      </c>
      <c r="BO73" s="54">
        <f t="shared" si="288"/>
        <v>1.5</v>
      </c>
      <c r="BP73" s="54">
        <f t="shared" si="288"/>
        <v>-1</v>
      </c>
      <c r="BQ73" s="96">
        <f t="shared" si="322"/>
        <v>0</v>
      </c>
      <c r="BR73" s="96">
        <f t="shared" si="322"/>
        <v>0</v>
      </c>
      <c r="BS73" s="96">
        <f t="shared" si="322"/>
        <v>-190</v>
      </c>
      <c r="BT73" s="96">
        <f t="shared" si="322"/>
        <v>0</v>
      </c>
      <c r="BU73" s="54">
        <f t="shared" si="289"/>
        <v>1.5</v>
      </c>
      <c r="BV73" s="54">
        <f t="shared" si="289"/>
        <v>-1</v>
      </c>
      <c r="BW73" s="96">
        <f t="shared" si="322"/>
        <v>0</v>
      </c>
      <c r="BX73" s="96">
        <f t="shared" si="322"/>
        <v>0</v>
      </c>
      <c r="BY73" s="96">
        <f t="shared" si="322"/>
        <v>-190</v>
      </c>
      <c r="BZ73" s="96">
        <f t="shared" si="322"/>
        <v>0</v>
      </c>
      <c r="CA73" s="54">
        <f t="shared" si="290"/>
        <v>0.25</v>
      </c>
      <c r="CB73" s="54">
        <f t="shared" si="290"/>
        <v>-1</v>
      </c>
      <c r="CC73" s="96">
        <f t="shared" si="322"/>
        <v>0</v>
      </c>
      <c r="CD73" s="96">
        <f t="shared" si="322"/>
        <v>0</v>
      </c>
      <c r="CE73" s="96">
        <f t="shared" si="322"/>
        <v>-190</v>
      </c>
      <c r="CF73" s="96">
        <f t="shared" si="322"/>
        <v>0</v>
      </c>
      <c r="CG73" s="54">
        <f t="shared" si="291"/>
        <v>0.25</v>
      </c>
      <c r="CH73" s="54">
        <f t="shared" si="291"/>
        <v>-1</v>
      </c>
      <c r="CI73" s="96">
        <f t="shared" si="322"/>
        <v>0</v>
      </c>
      <c r="CJ73" s="96">
        <f t="shared" si="322"/>
        <v>0</v>
      </c>
      <c r="CK73" s="96">
        <f t="shared" si="322"/>
        <v>-190</v>
      </c>
      <c r="CL73" s="96">
        <f t="shared" si="322"/>
        <v>0</v>
      </c>
      <c r="CM73" s="54">
        <f t="shared" si="292"/>
        <v>0.25</v>
      </c>
      <c r="CN73" s="54">
        <f t="shared" si="292"/>
        <v>-1</v>
      </c>
      <c r="CO73" s="96">
        <f t="shared" si="322"/>
        <v>0</v>
      </c>
      <c r="CP73" s="96">
        <f t="shared" si="322"/>
        <v>0</v>
      </c>
      <c r="CQ73" s="96">
        <f t="shared" si="322"/>
        <v>-190</v>
      </c>
      <c r="CR73" s="96">
        <f t="shared" si="322"/>
        <v>0</v>
      </c>
      <c r="CS73" s="54">
        <f t="shared" si="293"/>
        <v>0.25</v>
      </c>
      <c r="CT73" s="54">
        <f t="shared" si="293"/>
        <v>-1</v>
      </c>
      <c r="CU73" s="96">
        <f t="shared" si="322"/>
        <v>0</v>
      </c>
      <c r="CV73" s="96">
        <f t="shared" si="322"/>
        <v>0</v>
      </c>
      <c r="CW73" s="96">
        <f t="shared" si="322"/>
        <v>-190</v>
      </c>
      <c r="CX73" s="96">
        <f t="shared" si="322"/>
        <v>0</v>
      </c>
      <c r="CY73" s="54">
        <f t="shared" si="294"/>
        <v>0.25</v>
      </c>
      <c r="CZ73" s="54">
        <f t="shared" si="294"/>
        <v>-1</v>
      </c>
      <c r="DA73" s="96">
        <f t="shared" si="322"/>
        <v>0</v>
      </c>
      <c r="DB73" s="96">
        <f t="shared" si="322"/>
        <v>0</v>
      </c>
      <c r="DC73" s="96">
        <f t="shared" si="322"/>
        <v>-190</v>
      </c>
      <c r="DD73" s="96">
        <f t="shared" si="322"/>
        <v>0</v>
      </c>
      <c r="DE73" s="54">
        <f t="shared" si="295"/>
        <v>-0.44444444444444442</v>
      </c>
      <c r="DF73" s="54">
        <f t="shared" si="295"/>
        <v>-1</v>
      </c>
      <c r="DG73" s="96">
        <f t="shared" si="322"/>
        <v>0</v>
      </c>
      <c r="DH73" s="96">
        <f t="shared" si="322"/>
        <v>0</v>
      </c>
      <c r="DI73" s="96">
        <f t="shared" si="322"/>
        <v>-190</v>
      </c>
      <c r="DJ73" s="96">
        <f t="shared" si="322"/>
        <v>0</v>
      </c>
      <c r="DK73" s="54">
        <f t="shared" si="296"/>
        <v>-0.5</v>
      </c>
      <c r="DL73" s="54">
        <f t="shared" si="296"/>
        <v>-1</v>
      </c>
      <c r="DM73" s="96">
        <f t="shared" si="322"/>
        <v>0</v>
      </c>
      <c r="DN73" s="96">
        <f t="shared" si="322"/>
        <v>0</v>
      </c>
      <c r="DO73" s="96">
        <f t="shared" si="322"/>
        <v>0</v>
      </c>
      <c r="DP73" s="96">
        <f t="shared" si="322"/>
        <v>0</v>
      </c>
      <c r="DQ73" s="96">
        <f t="shared" ref="DQ73:DR73" si="323">DQ74-DQ75</f>
        <v>0</v>
      </c>
      <c r="DR73" s="96">
        <f t="shared" si="323"/>
        <v>0</v>
      </c>
      <c r="DS73" s="54">
        <f>IF($AY$73=0,1,DQ73/$AY$73-1)</f>
        <v>-1</v>
      </c>
      <c r="DT73" s="54">
        <f>IF($AZ$73=0,1,DR73/$AZ$73-1)</f>
        <v>1</v>
      </c>
      <c r="DU73" s="54">
        <f>IF($E$73=0,1,DQ73/$E$73-1)</f>
        <v>-1</v>
      </c>
      <c r="DV73" s="54">
        <f>IF($E$73=0,1,DR73/$E$73-1)</f>
        <v>-1</v>
      </c>
      <c r="DW73" s="28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66" customFormat="1" ht="18" customHeight="1">
      <c r="A74" s="321" t="s">
        <v>59</v>
      </c>
      <c r="B74" s="322"/>
      <c r="C74" s="29">
        <f>'[1]прогноз '!B71</f>
        <v>2650</v>
      </c>
      <c r="D74" s="29">
        <f>'[1]прогноз '!C71</f>
        <v>2650</v>
      </c>
      <c r="E74" s="29">
        <v>27</v>
      </c>
      <c r="F74" s="29">
        <f>H74+J74+N74+R74+V74+Z74+AD74+AH74+AL74+AP74+AT74+AX74</f>
        <v>1627</v>
      </c>
      <c r="G74" s="29">
        <v>0</v>
      </c>
      <c r="H74" s="29">
        <v>400</v>
      </c>
      <c r="I74" s="29">
        <v>0</v>
      </c>
      <c r="J74" s="29">
        <v>400</v>
      </c>
      <c r="K74" s="29">
        <f t="shared" ref="K74:L75" si="324">G74+I74</f>
        <v>0</v>
      </c>
      <c r="L74" s="29">
        <f t="shared" si="324"/>
        <v>800</v>
      </c>
      <c r="M74" s="29">
        <v>0</v>
      </c>
      <c r="N74" s="29">
        <v>400</v>
      </c>
      <c r="O74" s="29">
        <f t="shared" ref="O74:P75" si="325">K74+M74</f>
        <v>0</v>
      </c>
      <c r="P74" s="29">
        <f t="shared" si="325"/>
        <v>1200</v>
      </c>
      <c r="Q74" s="29">
        <v>0</v>
      </c>
      <c r="R74" s="29">
        <v>400</v>
      </c>
      <c r="S74" s="29">
        <f t="shared" ref="S74:T75" si="326">O74+Q74</f>
        <v>0</v>
      </c>
      <c r="T74" s="29">
        <f t="shared" si="326"/>
        <v>1600</v>
      </c>
      <c r="U74" s="29">
        <v>0</v>
      </c>
      <c r="V74" s="29">
        <v>0</v>
      </c>
      <c r="W74" s="29">
        <f t="shared" ref="W74:X75" si="327">S74+U74</f>
        <v>0</v>
      </c>
      <c r="X74" s="29">
        <f t="shared" si="327"/>
        <v>1600</v>
      </c>
      <c r="Y74" s="29">
        <v>0</v>
      </c>
      <c r="Z74" s="29">
        <v>0</v>
      </c>
      <c r="AA74" s="29">
        <f t="shared" ref="AA74:AB75" si="328">W74+Y74</f>
        <v>0</v>
      </c>
      <c r="AB74" s="29">
        <f t="shared" si="328"/>
        <v>1600</v>
      </c>
      <c r="AC74" s="29">
        <v>0</v>
      </c>
      <c r="AD74" s="29">
        <v>0</v>
      </c>
      <c r="AE74" s="29">
        <f t="shared" ref="AE74:AF75" si="329">AA74+AC74</f>
        <v>0</v>
      </c>
      <c r="AF74" s="29">
        <f t="shared" si="329"/>
        <v>1600</v>
      </c>
      <c r="AG74" s="29">
        <v>0</v>
      </c>
      <c r="AH74" s="29">
        <v>0</v>
      </c>
      <c r="AI74" s="29">
        <f t="shared" ref="AI74:AJ75" si="330">AE74+AG74</f>
        <v>0</v>
      </c>
      <c r="AJ74" s="29">
        <f t="shared" si="330"/>
        <v>1600</v>
      </c>
      <c r="AK74" s="29">
        <v>0</v>
      </c>
      <c r="AL74" s="29">
        <v>27</v>
      </c>
      <c r="AM74" s="29">
        <f t="shared" ref="AM74:AN75" si="331">AI74+AK74</f>
        <v>0</v>
      </c>
      <c r="AN74" s="29">
        <f t="shared" si="331"/>
        <v>1627</v>
      </c>
      <c r="AO74" s="29">
        <v>0</v>
      </c>
      <c r="AP74" s="29">
        <v>0</v>
      </c>
      <c r="AQ74" s="29">
        <f t="shared" ref="AQ74:AR75" si="332">AM74+AO74</f>
        <v>0</v>
      </c>
      <c r="AR74" s="29">
        <f t="shared" si="332"/>
        <v>1627</v>
      </c>
      <c r="AS74" s="29">
        <v>0</v>
      </c>
      <c r="AT74" s="29">
        <v>0</v>
      </c>
      <c r="AU74" s="29">
        <f t="shared" ref="AU74:AV75" si="333">AQ74+AS74</f>
        <v>0</v>
      </c>
      <c r="AV74" s="29">
        <f t="shared" si="333"/>
        <v>1627</v>
      </c>
      <c r="AW74" s="29">
        <v>0</v>
      </c>
      <c r="AX74" s="29">
        <v>0</v>
      </c>
      <c r="AY74" s="29">
        <v>0</v>
      </c>
      <c r="AZ74" s="29">
        <v>5000</v>
      </c>
      <c r="BA74" s="55">
        <f t="shared" si="285"/>
        <v>-1</v>
      </c>
      <c r="BB74" s="55">
        <f t="shared" si="285"/>
        <v>2.0731407498463428</v>
      </c>
      <c r="BC74" s="29">
        <v>0</v>
      </c>
      <c r="BD74" s="29">
        <v>0</v>
      </c>
      <c r="BE74" s="29">
        <v>0</v>
      </c>
      <c r="BF74" s="29">
        <v>0</v>
      </c>
      <c r="BG74" s="29">
        <f t="shared" ref="BG74:BH75" si="334">BC74+BE74</f>
        <v>0</v>
      </c>
      <c r="BH74" s="29">
        <f t="shared" si="334"/>
        <v>0</v>
      </c>
      <c r="BI74" s="55">
        <f t="shared" si="287"/>
        <v>1</v>
      </c>
      <c r="BJ74" s="55">
        <f t="shared" si="287"/>
        <v>-1</v>
      </c>
      <c r="BK74" s="29">
        <v>0</v>
      </c>
      <c r="BL74" s="29">
        <v>0</v>
      </c>
      <c r="BM74" s="29">
        <f t="shared" ref="BM74:BN75" si="335">BG74+BK74</f>
        <v>0</v>
      </c>
      <c r="BN74" s="29">
        <f t="shared" si="335"/>
        <v>0</v>
      </c>
      <c r="BO74" s="55">
        <f t="shared" si="288"/>
        <v>1</v>
      </c>
      <c r="BP74" s="55">
        <f t="shared" si="288"/>
        <v>-1</v>
      </c>
      <c r="BQ74" s="29"/>
      <c r="BR74" s="29"/>
      <c r="BS74" s="29">
        <f t="shared" ref="BS74:BT75" si="336">BM74+BQ74</f>
        <v>0</v>
      </c>
      <c r="BT74" s="29">
        <f t="shared" si="336"/>
        <v>0</v>
      </c>
      <c r="BU74" s="55">
        <f t="shared" si="289"/>
        <v>1</v>
      </c>
      <c r="BV74" s="55">
        <f t="shared" si="289"/>
        <v>-1</v>
      </c>
      <c r="BW74" s="29"/>
      <c r="BX74" s="29"/>
      <c r="BY74" s="29">
        <f t="shared" ref="BY74:BZ75" si="337">BS74+BW74</f>
        <v>0</v>
      </c>
      <c r="BZ74" s="29">
        <f t="shared" si="337"/>
        <v>0</v>
      </c>
      <c r="CA74" s="55">
        <f t="shared" si="290"/>
        <v>1</v>
      </c>
      <c r="CB74" s="55">
        <f t="shared" si="290"/>
        <v>-1</v>
      </c>
      <c r="CC74" s="29"/>
      <c r="CD74" s="29"/>
      <c r="CE74" s="29">
        <f t="shared" ref="CE74:CF75" si="338">BY74+CC74</f>
        <v>0</v>
      </c>
      <c r="CF74" s="29">
        <f t="shared" si="338"/>
        <v>0</v>
      </c>
      <c r="CG74" s="55">
        <f t="shared" si="291"/>
        <v>1</v>
      </c>
      <c r="CH74" s="55">
        <f t="shared" si="291"/>
        <v>-1</v>
      </c>
      <c r="CI74" s="29"/>
      <c r="CJ74" s="29"/>
      <c r="CK74" s="29">
        <f t="shared" ref="CK74:CL75" si="339">CE74+CI74</f>
        <v>0</v>
      </c>
      <c r="CL74" s="29">
        <f t="shared" si="339"/>
        <v>0</v>
      </c>
      <c r="CM74" s="55">
        <f t="shared" si="292"/>
        <v>1</v>
      </c>
      <c r="CN74" s="55">
        <f t="shared" si="292"/>
        <v>-1</v>
      </c>
      <c r="CO74" s="29"/>
      <c r="CP74" s="29"/>
      <c r="CQ74" s="29">
        <f t="shared" ref="CQ74:CR75" si="340">CK74+CO74</f>
        <v>0</v>
      </c>
      <c r="CR74" s="29">
        <f t="shared" si="340"/>
        <v>0</v>
      </c>
      <c r="CS74" s="55">
        <f t="shared" si="293"/>
        <v>1</v>
      </c>
      <c r="CT74" s="55">
        <f t="shared" si="293"/>
        <v>-1</v>
      </c>
      <c r="CU74" s="29"/>
      <c r="CV74" s="29"/>
      <c r="CW74" s="29">
        <f t="shared" ref="CW74:CX75" si="341">CQ74+CU74</f>
        <v>0</v>
      </c>
      <c r="CX74" s="29">
        <f t="shared" si="341"/>
        <v>0</v>
      </c>
      <c r="CY74" s="55">
        <f t="shared" si="294"/>
        <v>1</v>
      </c>
      <c r="CZ74" s="55">
        <f t="shared" si="294"/>
        <v>-1</v>
      </c>
      <c r="DA74" s="29"/>
      <c r="DB74" s="29"/>
      <c r="DC74" s="29">
        <f t="shared" ref="DC74:DD75" si="342">CW74+DA74</f>
        <v>0</v>
      </c>
      <c r="DD74" s="29">
        <f t="shared" si="342"/>
        <v>0</v>
      </c>
      <c r="DE74" s="55">
        <f t="shared" si="295"/>
        <v>1</v>
      </c>
      <c r="DF74" s="55">
        <f t="shared" si="295"/>
        <v>-1</v>
      </c>
      <c r="DG74" s="29"/>
      <c r="DH74" s="29"/>
      <c r="DI74" s="29">
        <f t="shared" ref="DI74:DJ75" si="343">DC74+DG74</f>
        <v>0</v>
      </c>
      <c r="DJ74" s="29">
        <f t="shared" si="343"/>
        <v>0</v>
      </c>
      <c r="DK74" s="55">
        <f t="shared" si="296"/>
        <v>1</v>
      </c>
      <c r="DL74" s="55">
        <f t="shared" si="296"/>
        <v>-1</v>
      </c>
      <c r="DM74" s="29"/>
      <c r="DN74" s="29"/>
      <c r="DO74" s="29"/>
      <c r="DP74" s="29"/>
      <c r="DQ74" s="29"/>
      <c r="DR74" s="29">
        <v>5000</v>
      </c>
      <c r="DS74" s="55">
        <f>IF($AY$74=0,1,DQ74/$AY$74-1)</f>
        <v>1</v>
      </c>
      <c r="DT74" s="55">
        <f>IF($AZ$74=0,1,DR74/$AZ$74-1)</f>
        <v>0</v>
      </c>
      <c r="DU74" s="55">
        <f>IF($E$74=0,1,DQ74/$E$74-1)</f>
        <v>-1</v>
      </c>
      <c r="DV74" s="55">
        <f>IF($E$74=0,1,DR74/$E$74-1)</f>
        <v>184.18518518518519</v>
      </c>
      <c r="DW74" s="2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 ht="18" customHeight="1">
      <c r="A75" s="321" t="s">
        <v>60</v>
      </c>
      <c r="B75" s="322"/>
      <c r="C75" s="29">
        <f>'[1]прогноз '!B72</f>
        <v>0</v>
      </c>
      <c r="D75" s="29">
        <f>'[1]прогноз '!C72</f>
        <v>0</v>
      </c>
      <c r="E75" s="29">
        <v>380</v>
      </c>
      <c r="F75" s="29">
        <v>3000</v>
      </c>
      <c r="G75" s="29">
        <v>0</v>
      </c>
      <c r="H75" s="29">
        <v>0</v>
      </c>
      <c r="I75" s="29">
        <v>38</v>
      </c>
      <c r="J75" s="29">
        <v>0</v>
      </c>
      <c r="K75" s="29">
        <f t="shared" si="324"/>
        <v>38</v>
      </c>
      <c r="L75" s="29">
        <f t="shared" si="324"/>
        <v>0</v>
      </c>
      <c r="M75" s="29">
        <v>38</v>
      </c>
      <c r="N75" s="29">
        <v>0</v>
      </c>
      <c r="O75" s="29">
        <f t="shared" si="325"/>
        <v>76</v>
      </c>
      <c r="P75" s="29">
        <f t="shared" si="325"/>
        <v>0</v>
      </c>
      <c r="Q75" s="29">
        <v>0</v>
      </c>
      <c r="R75" s="29">
        <v>0</v>
      </c>
      <c r="S75" s="29">
        <f t="shared" si="326"/>
        <v>76</v>
      </c>
      <c r="T75" s="29">
        <f t="shared" si="326"/>
        <v>0</v>
      </c>
      <c r="U75" s="29">
        <v>76</v>
      </c>
      <c r="V75" s="29">
        <v>0</v>
      </c>
      <c r="W75" s="29">
        <f t="shared" si="327"/>
        <v>152</v>
      </c>
      <c r="X75" s="29">
        <f t="shared" si="327"/>
        <v>0</v>
      </c>
      <c r="Y75" s="29">
        <v>0</v>
      </c>
      <c r="Z75" s="29">
        <v>0</v>
      </c>
      <c r="AA75" s="29">
        <f t="shared" si="328"/>
        <v>152</v>
      </c>
      <c r="AB75" s="29">
        <f t="shared" si="328"/>
        <v>0</v>
      </c>
      <c r="AC75" s="29">
        <v>0</v>
      </c>
      <c r="AD75" s="29">
        <v>0</v>
      </c>
      <c r="AE75" s="29">
        <f t="shared" si="329"/>
        <v>152</v>
      </c>
      <c r="AF75" s="29">
        <f t="shared" si="329"/>
        <v>0</v>
      </c>
      <c r="AG75" s="29">
        <v>0</v>
      </c>
      <c r="AH75" s="29">
        <v>0</v>
      </c>
      <c r="AI75" s="29">
        <f t="shared" si="330"/>
        <v>152</v>
      </c>
      <c r="AJ75" s="29">
        <f t="shared" si="330"/>
        <v>0</v>
      </c>
      <c r="AK75" s="29">
        <v>0</v>
      </c>
      <c r="AL75" s="29">
        <v>0</v>
      </c>
      <c r="AM75" s="29">
        <f t="shared" si="331"/>
        <v>152</v>
      </c>
      <c r="AN75" s="29">
        <f t="shared" si="331"/>
        <v>0</v>
      </c>
      <c r="AO75" s="29">
        <v>190</v>
      </c>
      <c r="AP75" s="29">
        <v>0</v>
      </c>
      <c r="AQ75" s="29">
        <f t="shared" si="332"/>
        <v>342</v>
      </c>
      <c r="AR75" s="29">
        <f t="shared" si="332"/>
        <v>0</v>
      </c>
      <c r="AS75" s="29">
        <v>38</v>
      </c>
      <c r="AT75" s="29">
        <v>0</v>
      </c>
      <c r="AU75" s="29">
        <f t="shared" si="333"/>
        <v>380</v>
      </c>
      <c r="AV75" s="29">
        <f t="shared" si="333"/>
        <v>0</v>
      </c>
      <c r="AW75" s="29">
        <v>0</v>
      </c>
      <c r="AX75" s="29">
        <v>0</v>
      </c>
      <c r="AY75" s="29">
        <v>228</v>
      </c>
      <c r="AZ75" s="29">
        <v>5000</v>
      </c>
      <c r="BA75" s="55">
        <f t="shared" si="285"/>
        <v>-0.4</v>
      </c>
      <c r="BB75" s="55">
        <f t="shared" si="285"/>
        <v>0.66666666666666674</v>
      </c>
      <c r="BC75" s="29">
        <v>38</v>
      </c>
      <c r="BD75" s="29">
        <v>0</v>
      </c>
      <c r="BE75" s="29">
        <v>76</v>
      </c>
      <c r="BF75" s="29">
        <v>0</v>
      </c>
      <c r="BG75" s="29">
        <f t="shared" si="334"/>
        <v>114</v>
      </c>
      <c r="BH75" s="29">
        <f t="shared" si="334"/>
        <v>0</v>
      </c>
      <c r="BI75" s="55">
        <f t="shared" si="287"/>
        <v>2</v>
      </c>
      <c r="BJ75" s="55">
        <f t="shared" si="287"/>
        <v>1</v>
      </c>
      <c r="BK75" s="29">
        <v>76</v>
      </c>
      <c r="BL75" s="29">
        <v>0</v>
      </c>
      <c r="BM75" s="29">
        <f t="shared" si="335"/>
        <v>190</v>
      </c>
      <c r="BN75" s="29">
        <f t="shared" si="335"/>
        <v>0</v>
      </c>
      <c r="BO75" s="55">
        <f t="shared" si="288"/>
        <v>1.5</v>
      </c>
      <c r="BP75" s="55">
        <f t="shared" si="288"/>
        <v>1</v>
      </c>
      <c r="BQ75" s="29"/>
      <c r="BR75" s="29"/>
      <c r="BS75" s="29">
        <f t="shared" si="336"/>
        <v>190</v>
      </c>
      <c r="BT75" s="29">
        <f t="shared" si="336"/>
        <v>0</v>
      </c>
      <c r="BU75" s="55">
        <f t="shared" si="289"/>
        <v>1.5</v>
      </c>
      <c r="BV75" s="55">
        <f t="shared" si="289"/>
        <v>1</v>
      </c>
      <c r="BW75" s="29"/>
      <c r="BX75" s="29"/>
      <c r="BY75" s="29">
        <f t="shared" si="337"/>
        <v>190</v>
      </c>
      <c r="BZ75" s="29">
        <f t="shared" si="337"/>
        <v>0</v>
      </c>
      <c r="CA75" s="55">
        <f t="shared" si="290"/>
        <v>0.25</v>
      </c>
      <c r="CB75" s="55">
        <f t="shared" si="290"/>
        <v>1</v>
      </c>
      <c r="CC75" s="29"/>
      <c r="CD75" s="29"/>
      <c r="CE75" s="29">
        <f t="shared" si="338"/>
        <v>190</v>
      </c>
      <c r="CF75" s="29">
        <f t="shared" si="338"/>
        <v>0</v>
      </c>
      <c r="CG75" s="55">
        <f t="shared" si="291"/>
        <v>0.25</v>
      </c>
      <c r="CH75" s="55">
        <f t="shared" si="291"/>
        <v>1</v>
      </c>
      <c r="CI75" s="29"/>
      <c r="CJ75" s="29"/>
      <c r="CK75" s="29">
        <f t="shared" si="339"/>
        <v>190</v>
      </c>
      <c r="CL75" s="29">
        <f t="shared" si="339"/>
        <v>0</v>
      </c>
      <c r="CM75" s="55">
        <f t="shared" si="292"/>
        <v>0.25</v>
      </c>
      <c r="CN75" s="55">
        <f t="shared" si="292"/>
        <v>1</v>
      </c>
      <c r="CO75" s="29"/>
      <c r="CP75" s="29"/>
      <c r="CQ75" s="29">
        <f t="shared" si="340"/>
        <v>190</v>
      </c>
      <c r="CR75" s="29">
        <f t="shared" si="340"/>
        <v>0</v>
      </c>
      <c r="CS75" s="55">
        <f t="shared" si="293"/>
        <v>0.25</v>
      </c>
      <c r="CT75" s="55">
        <f t="shared" si="293"/>
        <v>1</v>
      </c>
      <c r="CU75" s="29"/>
      <c r="CV75" s="29"/>
      <c r="CW75" s="29">
        <f t="shared" si="341"/>
        <v>190</v>
      </c>
      <c r="CX75" s="29">
        <f t="shared" si="341"/>
        <v>0</v>
      </c>
      <c r="CY75" s="55">
        <f t="shared" si="294"/>
        <v>0.25</v>
      </c>
      <c r="CZ75" s="55">
        <f t="shared" si="294"/>
        <v>1</v>
      </c>
      <c r="DA75" s="29"/>
      <c r="DB75" s="29"/>
      <c r="DC75" s="29">
        <f t="shared" si="342"/>
        <v>190</v>
      </c>
      <c r="DD75" s="29">
        <f t="shared" si="342"/>
        <v>0</v>
      </c>
      <c r="DE75" s="55">
        <f t="shared" si="295"/>
        <v>-0.44444444444444442</v>
      </c>
      <c r="DF75" s="55">
        <f t="shared" si="295"/>
        <v>1</v>
      </c>
      <c r="DG75" s="29"/>
      <c r="DH75" s="29"/>
      <c r="DI75" s="29">
        <f t="shared" si="343"/>
        <v>190</v>
      </c>
      <c r="DJ75" s="29">
        <f t="shared" si="343"/>
        <v>0</v>
      </c>
      <c r="DK75" s="55">
        <f t="shared" si="296"/>
        <v>-0.5</v>
      </c>
      <c r="DL75" s="55">
        <f t="shared" si="296"/>
        <v>1</v>
      </c>
      <c r="DM75" s="29"/>
      <c r="DN75" s="29"/>
      <c r="DO75" s="29"/>
      <c r="DP75" s="29"/>
      <c r="DQ75" s="29"/>
      <c r="DR75" s="29">
        <v>5000</v>
      </c>
      <c r="DS75" s="55">
        <f>IF($AY$75=0,1,DQ75/$AY$75-1)</f>
        <v>-1</v>
      </c>
      <c r="DT75" s="55">
        <f>IF($AZ$75=0,1,DR75/$AZ$75-1)</f>
        <v>0</v>
      </c>
      <c r="DU75" s="55">
        <f>IF($E$75=0,1,DQ75/$E$75-1)</f>
        <v>-1</v>
      </c>
      <c r="DV75" s="55">
        <f>IF($E$75=0,1,DR75/$E$75-1)</f>
        <v>12.157894736842104</v>
      </c>
      <c r="DW75" s="2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 ht="18" customHeight="1">
      <c r="A76" s="319" t="s">
        <v>61</v>
      </c>
      <c r="B76" s="320"/>
      <c r="C76" s="96">
        <f t="shared" ref="C76:AH76" si="344">(C75+C72+C69+C36)-(C8+C68+C71+C74)</f>
        <v>-567947.80000000016</v>
      </c>
      <c r="D76" s="96">
        <f t="shared" si="344"/>
        <v>-67196.650000000023</v>
      </c>
      <c r="E76" s="96">
        <f t="shared" si="344"/>
        <v>-205623.69999999995</v>
      </c>
      <c r="F76" s="96">
        <f t="shared" si="344"/>
        <v>-74501.300000000163</v>
      </c>
      <c r="G76" s="96">
        <f t="shared" si="344"/>
        <v>-7283</v>
      </c>
      <c r="H76" s="96">
        <f t="shared" si="344"/>
        <v>-7487.2999999999956</v>
      </c>
      <c r="I76" s="96">
        <f t="shared" si="344"/>
        <v>-21091.199999999997</v>
      </c>
      <c r="J76" s="96">
        <f t="shared" si="344"/>
        <v>-19071.69999999999</v>
      </c>
      <c r="K76" s="96">
        <f t="shared" si="344"/>
        <v>-28374.199999999983</v>
      </c>
      <c r="L76" s="96">
        <f t="shared" si="344"/>
        <v>-26559</v>
      </c>
      <c r="M76" s="96">
        <f t="shared" si="344"/>
        <v>569.60000000000582</v>
      </c>
      <c r="N76" s="96">
        <f t="shared" si="344"/>
        <v>899.20000000001164</v>
      </c>
      <c r="O76" s="96">
        <f t="shared" si="344"/>
        <v>-27804.599999999977</v>
      </c>
      <c r="P76" s="96">
        <f t="shared" si="344"/>
        <v>-25659.799999999988</v>
      </c>
      <c r="Q76" s="96">
        <f t="shared" si="344"/>
        <v>-15689</v>
      </c>
      <c r="R76" s="96">
        <f t="shared" si="344"/>
        <v>-19195.010000000002</v>
      </c>
      <c r="S76" s="96">
        <f t="shared" si="344"/>
        <v>-43493.600000000064</v>
      </c>
      <c r="T76" s="96">
        <f t="shared" si="344"/>
        <v>-44854.810000000027</v>
      </c>
      <c r="U76" s="96">
        <f t="shared" si="344"/>
        <v>-11653.600000000013</v>
      </c>
      <c r="V76" s="96">
        <f t="shared" si="344"/>
        <v>-5413.5999999999913</v>
      </c>
      <c r="W76" s="96">
        <f t="shared" si="344"/>
        <v>-55147.20000000007</v>
      </c>
      <c r="X76" s="96">
        <f t="shared" si="344"/>
        <v>-50268.410000000033</v>
      </c>
      <c r="Y76" s="96">
        <f t="shared" si="344"/>
        <v>-22388.89999999998</v>
      </c>
      <c r="Z76" s="96">
        <f t="shared" si="344"/>
        <v>-14824</v>
      </c>
      <c r="AA76" s="96">
        <f t="shared" si="344"/>
        <v>-77536.099999999977</v>
      </c>
      <c r="AB76" s="96">
        <f t="shared" si="344"/>
        <v>-65092.410000000033</v>
      </c>
      <c r="AC76" s="96">
        <f t="shared" si="344"/>
        <v>2639.5999999999913</v>
      </c>
      <c r="AD76" s="96">
        <f t="shared" si="344"/>
        <v>4105.6999999999825</v>
      </c>
      <c r="AE76" s="96">
        <f t="shared" si="344"/>
        <v>-74896.500000000116</v>
      </c>
      <c r="AF76" s="96">
        <f t="shared" si="344"/>
        <v>-60986.710000000021</v>
      </c>
      <c r="AG76" s="96">
        <f t="shared" si="344"/>
        <v>2711.1999999999825</v>
      </c>
      <c r="AH76" s="96">
        <f t="shared" si="344"/>
        <v>5152.7100000000064</v>
      </c>
      <c r="AI76" s="96">
        <f t="shared" ref="AI76:AZ76" si="345">(AI75+AI72+AI69+AI36)-(AI8+AI68+AI71+AI74)</f>
        <v>-72185.300000000105</v>
      </c>
      <c r="AJ76" s="96">
        <f t="shared" si="345"/>
        <v>-55833.999999999942</v>
      </c>
      <c r="AK76" s="96">
        <f t="shared" si="345"/>
        <v>-10901.099999999969</v>
      </c>
      <c r="AL76" s="96">
        <f t="shared" si="345"/>
        <v>-6873.2000000000189</v>
      </c>
      <c r="AM76" s="96">
        <f t="shared" si="345"/>
        <v>-83086.40000000014</v>
      </c>
      <c r="AN76" s="96">
        <f t="shared" si="345"/>
        <v>-62707.20000000007</v>
      </c>
      <c r="AO76" s="96">
        <f t="shared" si="345"/>
        <v>-8244.0000000000291</v>
      </c>
      <c r="AP76" s="96">
        <f t="shared" si="345"/>
        <v>-3935.3000000000466</v>
      </c>
      <c r="AQ76" s="96">
        <f t="shared" si="345"/>
        <v>-91330.40000000014</v>
      </c>
      <c r="AR76" s="96">
        <f t="shared" si="345"/>
        <v>-66642.5</v>
      </c>
      <c r="AS76" s="96">
        <f t="shared" si="345"/>
        <v>-38796.300000000003</v>
      </c>
      <c r="AT76" s="96">
        <f t="shared" si="345"/>
        <v>4.1000000000058208</v>
      </c>
      <c r="AU76" s="96">
        <f t="shared" si="345"/>
        <v>-130126.69999999995</v>
      </c>
      <c r="AV76" s="96">
        <f t="shared" si="345"/>
        <v>-66638.400000000023</v>
      </c>
      <c r="AW76" s="96">
        <f t="shared" si="345"/>
        <v>-65151</v>
      </c>
      <c r="AX76" s="96">
        <f t="shared" si="345"/>
        <v>-10862.899999999994</v>
      </c>
      <c r="AY76" s="96">
        <f t="shared" si="345"/>
        <v>-190494.40000000002</v>
      </c>
      <c r="AZ76" s="96">
        <f t="shared" si="345"/>
        <v>-93657.400000000023</v>
      </c>
      <c r="BA76" s="54">
        <f t="shared" si="285"/>
        <v>-7.3577608028646213E-2</v>
      </c>
      <c r="BB76" s="54">
        <f t="shared" si="285"/>
        <v>0.25712437232638652</v>
      </c>
      <c r="BC76" s="96">
        <f t="shared" ref="BC76:BH76" si="346">(BC75+BC72+BC69+BC36)-(BC8+BC68+BC71+BC74)</f>
        <v>-8548.5999999999985</v>
      </c>
      <c r="BD76" s="96">
        <f t="shared" si="346"/>
        <v>-3229.1999999999971</v>
      </c>
      <c r="BE76" s="96">
        <f t="shared" si="346"/>
        <v>-6640.0999999999985</v>
      </c>
      <c r="BF76" s="96">
        <f t="shared" si="346"/>
        <v>276</v>
      </c>
      <c r="BG76" s="96">
        <f t="shared" si="346"/>
        <v>-15188.699999999997</v>
      </c>
      <c r="BH76" s="96">
        <f t="shared" si="346"/>
        <v>-2953.1999999999971</v>
      </c>
      <c r="BI76" s="54">
        <f t="shared" si="287"/>
        <v>-0.46470032635281322</v>
      </c>
      <c r="BJ76" s="54">
        <f t="shared" si="287"/>
        <v>-0.88880605444482108</v>
      </c>
      <c r="BK76" s="96">
        <f>(BK75+BK72+BK69+BK36)-(BK8+BK68+BK71+BK74)</f>
        <v>-39827.899999999994</v>
      </c>
      <c r="BL76" s="96">
        <f>(BL75+BL72+BL69+BL36)-(BL8+BL68+BL71+BL74)</f>
        <v>-5762.8000000000029</v>
      </c>
      <c r="BM76" s="96">
        <f>(BM75+BM72+BM69+BM36)-(BM8+BM68+BM71+BM74)</f>
        <v>-55016.600000000006</v>
      </c>
      <c r="BN76" s="96">
        <f>(BN75+BN72+BN69+BN36)-(BN8+BN68+BN71+BN74)</f>
        <v>-8716.0000000000291</v>
      </c>
      <c r="BO76" s="54">
        <f t="shared" si="288"/>
        <v>0.97868697985225661</v>
      </c>
      <c r="BP76" s="54">
        <f t="shared" si="288"/>
        <v>-0.66032471024715567</v>
      </c>
      <c r="BQ76" s="96">
        <f>(BQ75+BQ72+BQ69+BQ36)-(BQ8+BQ68+BQ71+BQ74)</f>
        <v>0</v>
      </c>
      <c r="BR76" s="96">
        <f>(BR75+BR72+BR69+BR36)-(BR8+BR68+BR71+BR74)</f>
        <v>0</v>
      </c>
      <c r="BS76" s="96">
        <f>(BS75+BS72+BS69+BS36)-(BS8+BS68+BS71+BS74)</f>
        <v>-55016.600000000006</v>
      </c>
      <c r="BT76" s="96">
        <f>(BT75+BT72+BT69+BT36)-(BT8+BT68+BT71+BT74)</f>
        <v>-8716.0000000000291</v>
      </c>
      <c r="BU76" s="54">
        <f t="shared" si="289"/>
        <v>0.26493553074475162</v>
      </c>
      <c r="BV76" s="54">
        <f t="shared" si="289"/>
        <v>-0.80568416185465896</v>
      </c>
      <c r="BW76" s="96">
        <f>(BW75+BW72+BW69+BW36)-(BW8+BW68+BW71+BW74)</f>
        <v>0</v>
      </c>
      <c r="BX76" s="96">
        <f>(BX75+BX72+BX69+BX36)-(BX8+BX68+BX71+BX74)</f>
        <v>0</v>
      </c>
      <c r="BY76" s="96">
        <f>(BY75+BY72+BY69+BY36)-(BY8+BY68+BY71+BY74)</f>
        <v>-55016.600000000006</v>
      </c>
      <c r="BZ76" s="96">
        <f>(BZ75+BZ72+BZ69+BZ36)-(BZ8+BZ68+BZ71+BZ74)</f>
        <v>-8716.0000000000291</v>
      </c>
      <c r="CA76" s="54">
        <f t="shared" si="290"/>
        <v>-2.3682072707238433E-3</v>
      </c>
      <c r="CB76" s="54">
        <f t="shared" si="290"/>
        <v>-0.82661078796802956</v>
      </c>
      <c r="CC76" s="96">
        <f>(CC75+CC72+CC69+CC36)-(CC8+CC68+CC71+CC74)</f>
        <v>0</v>
      </c>
      <c r="CD76" s="96">
        <f>(CD75+CD72+CD69+CD36)-(CD8+CD68+CD71+CD74)</f>
        <v>0</v>
      </c>
      <c r="CE76" s="96">
        <f>(CE75+CE72+CE69+CE36)-(CE8+CE68+CE71+CE74)</f>
        <v>-55016.600000000006</v>
      </c>
      <c r="CF76" s="96">
        <f>(CF75+CF72+CF69+CF36)-(CF8+CF68+CF71+CF74)</f>
        <v>-8716.0000000000291</v>
      </c>
      <c r="CG76" s="54">
        <f t="shared" si="291"/>
        <v>-0.29043890523253013</v>
      </c>
      <c r="CH76" s="54">
        <f t="shared" si="291"/>
        <v>-0.86609805966624953</v>
      </c>
      <c r="CI76" s="96">
        <f>(CI75+CI72+CI69+CI36)-(CI8+CI68+CI71+CI74)</f>
        <v>0</v>
      </c>
      <c r="CJ76" s="96">
        <f>(CJ75+CJ72+CJ69+CJ36)-(CJ8+CJ68+CJ71+CJ74)</f>
        <v>0</v>
      </c>
      <c r="CK76" s="96">
        <f>(CK75+CK72+CK69+CK36)-(CK8+CK68+CK71+CK74)</f>
        <v>-55016.600000000006</v>
      </c>
      <c r="CL76" s="96">
        <f>(CL75+CL72+CL69+CL36)-(CL8+CL68+CL71+CL74)</f>
        <v>-8716.0000000000291</v>
      </c>
      <c r="CM76" s="54">
        <f t="shared" si="292"/>
        <v>-0.26543162898132866</v>
      </c>
      <c r="CN76" s="54">
        <f t="shared" si="292"/>
        <v>-0.85708361707001368</v>
      </c>
      <c r="CO76" s="96">
        <f>(CO75+CO72+CO69+CO36)-(CO8+CO68+CO71+CO74)</f>
        <v>0</v>
      </c>
      <c r="CP76" s="96">
        <f>(CP75+CP72+CP69+CP36)-(CP8+CP68+CP71+CP74)</f>
        <v>0</v>
      </c>
      <c r="CQ76" s="96">
        <f>(CQ75+CQ72+CQ69+CQ36)-(CQ8+CQ68+CQ71+CQ74)</f>
        <v>-55016.600000000006</v>
      </c>
      <c r="CR76" s="96">
        <f>(CR75+CR72+CR69+CR36)-(CR8+CR68+CR71+CR74)</f>
        <v>-8716.0000000000291</v>
      </c>
      <c r="CS76" s="54">
        <f t="shared" si="293"/>
        <v>-0.23784205371453848</v>
      </c>
      <c r="CT76" s="54">
        <f t="shared" si="293"/>
        <v>-0.84389440126087978</v>
      </c>
      <c r="CU76" s="96">
        <f>(CU75+CU72+CU69+CU36)-(CU8+CU68+CU71+CU74)</f>
        <v>0</v>
      </c>
      <c r="CV76" s="96">
        <f>(CV75+CV72+CV69+CV36)-(CV8+CV68+CV71+CV74)</f>
        <v>0</v>
      </c>
      <c r="CW76" s="96">
        <f>(CW75+CW72+CW69+CW36)-(CW8+CW68+CW71+CW74)</f>
        <v>-55016.600000000006</v>
      </c>
      <c r="CX76" s="96">
        <f>(CX75+CX72+CX69+CX36)-(CX8+CX68+CX71+CX74)</f>
        <v>-8716.0000000000291</v>
      </c>
      <c r="CY76" s="54">
        <f t="shared" si="294"/>
        <v>-0.3378386835872067</v>
      </c>
      <c r="CZ76" s="54">
        <f t="shared" si="294"/>
        <v>-0.86100479689732567</v>
      </c>
      <c r="DA76" s="96">
        <f>(DA75+DA72+DA69+DA36)-(DA8+DA68+DA71+DA74)</f>
        <v>0</v>
      </c>
      <c r="DB76" s="96">
        <f>(DB75+DB72+DB69+DB36)-(DB8+DB68+DB71+DB74)</f>
        <v>0</v>
      </c>
      <c r="DC76" s="96">
        <f>(DC75+DC72+DC69+DC36)-(DC8+DC68+DC71+DC74)</f>
        <v>-55016.600000000006</v>
      </c>
      <c r="DD76" s="96">
        <f>(DD75+DD72+DD69+DD36)-(DD8+DD68+DD71+DD74)</f>
        <v>-8716.0000000000291</v>
      </c>
      <c r="DE76" s="54">
        <f t="shared" si="295"/>
        <v>-0.3976091202929154</v>
      </c>
      <c r="DF76" s="54">
        <f t="shared" si="295"/>
        <v>-0.86921258956371639</v>
      </c>
      <c r="DG76" s="96">
        <f>(DG75+DG72+DG69+DG36)-(DG8+DG68+DG71+DG74)</f>
        <v>0</v>
      </c>
      <c r="DH76" s="96">
        <f>(DH75+DH72+DH69+DH36)-(DH8+DH68+DH71+DH74)</f>
        <v>0</v>
      </c>
      <c r="DI76" s="96">
        <f>(DI75+DI72+DI69+DI36)-(DI8+DI68+DI71+DI74)</f>
        <v>-55016.600000000006</v>
      </c>
      <c r="DJ76" s="96">
        <f>(DJ75+DJ72+DJ69+DJ36)-(DJ8+DJ68+DJ71+DJ74)</f>
        <v>-8716.0000000000291</v>
      </c>
      <c r="DK76" s="54">
        <f t="shared" si="296"/>
        <v>-0.57720744474423746</v>
      </c>
      <c r="DL76" s="54">
        <f t="shared" si="296"/>
        <v>-0.86920454272611547</v>
      </c>
      <c r="DM76" s="96">
        <f>(DM75+DM72+DM69+DM36)-(DM8+DM68+DM71+DM74)</f>
        <v>0</v>
      </c>
      <c r="DN76" s="96">
        <f>(DN75+DN72+DN69+DN36)-(DN8+DN68+DN71+DN74)</f>
        <v>0</v>
      </c>
      <c r="DO76" s="96">
        <f t="shared" ref="DO76:DR76" si="347">(DO75+DO72+DO69+DO36)-(DO8+DO68+DO71+DO74)</f>
        <v>0</v>
      </c>
      <c r="DP76" s="96">
        <f t="shared" si="347"/>
        <v>0</v>
      </c>
      <c r="DQ76" s="96">
        <f t="shared" si="347"/>
        <v>-138957.90000000002</v>
      </c>
      <c r="DR76" s="96">
        <f t="shared" si="347"/>
        <v>-34077.400000000023</v>
      </c>
      <c r="DS76" s="54">
        <f>IF($AY$76=0,1,DQ76/$AY$76-1)</f>
        <v>-0.27054076130321936</v>
      </c>
      <c r="DT76" s="54">
        <f>IF($AZ$76=0,1,DR76/$AZ$76-1)</f>
        <v>-0.63614834492522732</v>
      </c>
      <c r="DU76" s="54">
        <f>IF($E$76=0,1,DQ76/$E$76-1)</f>
        <v>-0.32421262724092581</v>
      </c>
      <c r="DV76" s="54">
        <f>IF($E$76=0,1,DR76/$E$76-1)</f>
        <v>-0.83427299479583317</v>
      </c>
      <c r="DW76" s="28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72" customFormat="1" ht="51" customHeight="1">
      <c r="A77" s="323" t="s">
        <v>62</v>
      </c>
      <c r="B77" s="324"/>
      <c r="C77" s="17" t="s">
        <v>51</v>
      </c>
      <c r="D77" s="17" t="s">
        <v>51</v>
      </c>
      <c r="E77" s="17" t="s">
        <v>51</v>
      </c>
      <c r="F77" s="17" t="s">
        <v>51</v>
      </c>
      <c r="G77" s="17" t="s">
        <v>51</v>
      </c>
      <c r="H77" s="17" t="s">
        <v>51</v>
      </c>
      <c r="I77" s="17" t="s">
        <v>51</v>
      </c>
      <c r="J77" s="17" t="s">
        <v>51</v>
      </c>
      <c r="K77" s="17" t="s">
        <v>51</v>
      </c>
      <c r="L77" s="17" t="s">
        <v>51</v>
      </c>
      <c r="M77" s="17" t="s">
        <v>51</v>
      </c>
      <c r="N77" s="17" t="s">
        <v>51</v>
      </c>
      <c r="O77" s="17" t="s">
        <v>51</v>
      </c>
      <c r="P77" s="17" t="s">
        <v>51</v>
      </c>
      <c r="Q77" s="17" t="s">
        <v>51</v>
      </c>
      <c r="R77" s="17" t="s">
        <v>51</v>
      </c>
      <c r="S77" s="17" t="s">
        <v>51</v>
      </c>
      <c r="T77" s="17" t="s">
        <v>51</v>
      </c>
      <c r="U77" s="17" t="s">
        <v>51</v>
      </c>
      <c r="V77" s="17" t="s">
        <v>51</v>
      </c>
      <c r="W77" s="17" t="s">
        <v>51</v>
      </c>
      <c r="X77" s="17" t="s">
        <v>51</v>
      </c>
      <c r="Y77" s="17" t="s">
        <v>51</v>
      </c>
      <c r="Z77" s="17" t="s">
        <v>51</v>
      </c>
      <c r="AA77" s="17" t="s">
        <v>51</v>
      </c>
      <c r="AB77" s="17" t="s">
        <v>51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7" t="s">
        <v>51</v>
      </c>
      <c r="AJ77" s="17" t="s">
        <v>51</v>
      </c>
      <c r="AK77" s="17" t="s">
        <v>51</v>
      </c>
      <c r="AL77" s="17" t="s">
        <v>51</v>
      </c>
      <c r="AM77" s="17" t="s">
        <v>51</v>
      </c>
      <c r="AN77" s="17" t="s">
        <v>51</v>
      </c>
      <c r="AO77" s="17" t="s">
        <v>51</v>
      </c>
      <c r="AP77" s="17" t="s">
        <v>51</v>
      </c>
      <c r="AQ77" s="17" t="s">
        <v>51</v>
      </c>
      <c r="AR77" s="17" t="s">
        <v>51</v>
      </c>
      <c r="AS77" s="17" t="s">
        <v>51</v>
      </c>
      <c r="AT77" s="17" t="s">
        <v>51</v>
      </c>
      <c r="AU77" s="17" t="s">
        <v>51</v>
      </c>
      <c r="AV77" s="17" t="s">
        <v>51</v>
      </c>
      <c r="AW77" s="17" t="s">
        <v>51</v>
      </c>
      <c r="AX77" s="17" t="s">
        <v>51</v>
      </c>
      <c r="AY77" s="17" t="s">
        <v>51</v>
      </c>
      <c r="AZ77" s="17" t="s">
        <v>51</v>
      </c>
      <c r="BA77" s="17" t="s">
        <v>51</v>
      </c>
      <c r="BB77" s="17" t="s">
        <v>51</v>
      </c>
      <c r="BC77" s="17" t="s">
        <v>51</v>
      </c>
      <c r="BD77" s="17" t="s">
        <v>51</v>
      </c>
      <c r="BE77" s="17" t="s">
        <v>51</v>
      </c>
      <c r="BF77" s="17" t="s">
        <v>51</v>
      </c>
      <c r="BG77" s="17" t="s">
        <v>51</v>
      </c>
      <c r="BH77" s="17" t="s">
        <v>51</v>
      </c>
      <c r="BI77" s="17" t="s">
        <v>51</v>
      </c>
      <c r="BJ77" s="17" t="s">
        <v>51</v>
      </c>
      <c r="BK77" s="17" t="s">
        <v>51</v>
      </c>
      <c r="BL77" s="17" t="s">
        <v>51</v>
      </c>
      <c r="BM77" s="17" t="s">
        <v>51</v>
      </c>
      <c r="BN77" s="17" t="s">
        <v>51</v>
      </c>
      <c r="BO77" s="17" t="s">
        <v>51</v>
      </c>
      <c r="BP77" s="17" t="s">
        <v>51</v>
      </c>
      <c r="BQ77" s="17" t="s">
        <v>51</v>
      </c>
      <c r="BR77" s="17" t="s">
        <v>51</v>
      </c>
      <c r="BS77" s="17" t="s">
        <v>51</v>
      </c>
      <c r="BT77" s="17" t="s">
        <v>51</v>
      </c>
      <c r="BU77" s="17" t="s">
        <v>51</v>
      </c>
      <c r="BV77" s="17" t="s">
        <v>51</v>
      </c>
      <c r="BW77" s="17" t="s">
        <v>51</v>
      </c>
      <c r="BX77" s="17" t="s">
        <v>51</v>
      </c>
      <c r="BY77" s="17" t="s">
        <v>51</v>
      </c>
      <c r="BZ77" s="17" t="s">
        <v>51</v>
      </c>
      <c r="CA77" s="17" t="s">
        <v>51</v>
      </c>
      <c r="CB77" s="17" t="s">
        <v>51</v>
      </c>
      <c r="CC77" s="17" t="s">
        <v>51</v>
      </c>
      <c r="CD77" s="17" t="s">
        <v>51</v>
      </c>
      <c r="CE77" s="17" t="s">
        <v>51</v>
      </c>
      <c r="CF77" s="17" t="s">
        <v>51</v>
      </c>
      <c r="CG77" s="17" t="s">
        <v>51</v>
      </c>
      <c r="CH77" s="17" t="s">
        <v>51</v>
      </c>
      <c r="CI77" s="17" t="s">
        <v>51</v>
      </c>
      <c r="CJ77" s="17" t="s">
        <v>51</v>
      </c>
      <c r="CK77" s="17" t="s">
        <v>51</v>
      </c>
      <c r="CL77" s="17" t="s">
        <v>51</v>
      </c>
      <c r="CM77" s="17" t="s">
        <v>51</v>
      </c>
      <c r="CN77" s="17" t="s">
        <v>51</v>
      </c>
      <c r="CO77" s="17" t="s">
        <v>51</v>
      </c>
      <c r="CP77" s="17" t="s">
        <v>51</v>
      </c>
      <c r="CQ77" s="17" t="s">
        <v>51</v>
      </c>
      <c r="CR77" s="17" t="s">
        <v>51</v>
      </c>
      <c r="CS77" s="17" t="s">
        <v>51</v>
      </c>
      <c r="CT77" s="17" t="s">
        <v>51</v>
      </c>
      <c r="CU77" s="17" t="s">
        <v>51</v>
      </c>
      <c r="CV77" s="17" t="s">
        <v>51</v>
      </c>
      <c r="CW77" s="17" t="s">
        <v>51</v>
      </c>
      <c r="CX77" s="17" t="s">
        <v>51</v>
      </c>
      <c r="CY77" s="17" t="s">
        <v>51</v>
      </c>
      <c r="CZ77" s="17" t="s">
        <v>51</v>
      </c>
      <c r="DA77" s="17" t="s">
        <v>51</v>
      </c>
      <c r="DB77" s="17" t="s">
        <v>51</v>
      </c>
      <c r="DC77" s="17" t="s">
        <v>51</v>
      </c>
      <c r="DD77" s="17" t="s">
        <v>51</v>
      </c>
      <c r="DE77" s="17" t="s">
        <v>51</v>
      </c>
      <c r="DF77" s="17" t="s">
        <v>51</v>
      </c>
      <c r="DG77" s="17" t="s">
        <v>51</v>
      </c>
      <c r="DH77" s="17" t="s">
        <v>51</v>
      </c>
      <c r="DI77" s="17" t="s">
        <v>51</v>
      </c>
      <c r="DJ77" s="17" t="s">
        <v>51</v>
      </c>
      <c r="DK77" s="17" t="s">
        <v>51</v>
      </c>
      <c r="DL77" s="17" t="s">
        <v>51</v>
      </c>
      <c r="DM77" s="17" t="s">
        <v>51</v>
      </c>
      <c r="DN77" s="17" t="s">
        <v>51</v>
      </c>
      <c r="DO77" s="17">
        <f t="shared" ref="DO77:DP77" si="348">DO63+DO66</f>
        <v>0</v>
      </c>
      <c r="DP77" s="17">
        <f t="shared" si="348"/>
        <v>0</v>
      </c>
      <c r="DQ77" s="17" t="s">
        <v>51</v>
      </c>
      <c r="DR77" s="32" t="s">
        <v>51</v>
      </c>
      <c r="DS77" s="17" t="s">
        <v>51</v>
      </c>
      <c r="DT77" s="17" t="s">
        <v>51</v>
      </c>
      <c r="DU77" s="17" t="s">
        <v>51</v>
      </c>
      <c r="DV77" s="17" t="s">
        <v>51</v>
      </c>
      <c r="DW77" s="37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</row>
    <row r="78" spans="1:268" s="66" customFormat="1" ht="30" customHeight="1">
      <c r="A78" s="325" t="s">
        <v>63</v>
      </c>
      <c r="B78" s="326"/>
      <c r="C78" s="80"/>
      <c r="D78" s="80"/>
      <c r="E78" s="80"/>
      <c r="F78" s="80"/>
      <c r="G78" s="80"/>
      <c r="H78" s="80"/>
      <c r="I78" s="80"/>
      <c r="J78" s="80"/>
      <c r="K78" s="93"/>
      <c r="L78" s="93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96"/>
      <c r="BC78" s="80"/>
      <c r="BD78" s="80"/>
      <c r="BE78" s="80"/>
      <c r="BF78" s="80"/>
      <c r="BG78" s="93"/>
      <c r="BH78" s="93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96"/>
      <c r="DR78" s="96"/>
      <c r="DS78" s="80"/>
      <c r="DT78" s="80"/>
      <c r="DU78" s="80"/>
      <c r="DV78" s="80"/>
      <c r="DW78" s="28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82" customFormat="1" ht="19.5" customHeight="1">
      <c r="A79" s="224" t="s">
        <v>136</v>
      </c>
      <c r="B79" s="225"/>
      <c r="C79" s="92"/>
      <c r="D79" s="92"/>
      <c r="E79" s="92"/>
      <c r="F79" s="92"/>
      <c r="G79" s="92"/>
      <c r="H79" s="92"/>
      <c r="I79" s="92"/>
      <c r="J79" s="92"/>
      <c r="L79" s="94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81"/>
      <c r="BB79" s="17"/>
      <c r="BC79" s="81"/>
      <c r="BD79" s="81"/>
      <c r="BE79" s="81"/>
      <c r="BF79" s="81"/>
      <c r="BH79" s="94"/>
      <c r="BI79" s="81"/>
      <c r="BJ79" s="81"/>
      <c r="BK79" s="81"/>
      <c r="BL79" s="81"/>
      <c r="BM79" s="92"/>
      <c r="BN79" s="92"/>
      <c r="BO79" s="81"/>
      <c r="BP79" s="81"/>
      <c r="BQ79" s="92"/>
      <c r="BR79" s="92"/>
      <c r="BS79" s="92"/>
      <c r="BT79" s="92"/>
      <c r="BU79" s="81"/>
      <c r="BV79" s="81"/>
      <c r="BW79" s="92"/>
      <c r="BX79" s="92"/>
      <c r="BY79" s="92"/>
      <c r="BZ79" s="92"/>
      <c r="CA79" s="81"/>
      <c r="CB79" s="81"/>
      <c r="CC79" s="92"/>
      <c r="CD79" s="92"/>
      <c r="CE79" s="92"/>
      <c r="CF79" s="92"/>
      <c r="CG79" s="81"/>
      <c r="CH79" s="81"/>
      <c r="CI79" s="92"/>
      <c r="CJ79" s="92"/>
      <c r="CK79" s="92"/>
      <c r="CL79" s="92"/>
      <c r="CM79" s="81"/>
      <c r="CN79" s="81"/>
      <c r="CO79" s="92"/>
      <c r="CP79" s="92"/>
      <c r="CQ79" s="92"/>
      <c r="CR79" s="92"/>
      <c r="CS79" s="81"/>
      <c r="CT79" s="81"/>
      <c r="CU79" s="92"/>
      <c r="CV79" s="92"/>
      <c r="CW79" s="92"/>
      <c r="CX79" s="92"/>
      <c r="CY79" s="81"/>
      <c r="CZ79" s="81"/>
      <c r="DA79" s="92"/>
      <c r="DB79" s="92"/>
      <c r="DC79" s="92"/>
      <c r="DD79" s="92"/>
      <c r="DE79" s="81"/>
      <c r="DF79" s="81"/>
      <c r="DG79" s="92"/>
      <c r="DH79" s="92"/>
      <c r="DI79" s="92"/>
      <c r="DJ79" s="92"/>
      <c r="DK79" s="81"/>
      <c r="DL79" s="81"/>
      <c r="DM79" s="92"/>
      <c r="DN79" s="92"/>
      <c r="DO79" s="81"/>
      <c r="DP79" s="81"/>
      <c r="DQ79" s="17"/>
      <c r="DR79" s="17"/>
      <c r="DS79" s="81"/>
      <c r="DT79" s="81"/>
      <c r="DU79" s="81"/>
      <c r="DV79" s="81"/>
      <c r="DW79" s="37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</row>
    <row r="80" spans="1:268" s="104" customFormat="1" ht="18" customHeight="1">
      <c r="A80" s="317" t="s">
        <v>64</v>
      </c>
      <c r="B80" s="318"/>
      <c r="C80" s="29">
        <f>C81+C82+C83+C84+C85+C86</f>
        <v>0</v>
      </c>
      <c r="D80" s="29">
        <f t="shared" ref="D80:AZ80" si="349">D81+D82+D83+D84+D85+D86</f>
        <v>0</v>
      </c>
      <c r="E80" s="29">
        <f t="shared" si="349"/>
        <v>8790.9000000000015</v>
      </c>
      <c r="F80" s="29">
        <f t="shared" si="349"/>
        <v>2192.3000000000002</v>
      </c>
      <c r="G80" s="29">
        <f t="shared" si="349"/>
        <v>770.1</v>
      </c>
      <c r="H80" s="29">
        <f t="shared" si="349"/>
        <v>192.1</v>
      </c>
      <c r="I80" s="29">
        <f t="shared" si="349"/>
        <v>270.60000000000002</v>
      </c>
      <c r="J80" s="29">
        <f t="shared" si="349"/>
        <v>67.5</v>
      </c>
      <c r="K80" s="29">
        <f t="shared" si="349"/>
        <v>1040.7</v>
      </c>
      <c r="L80" s="29">
        <f t="shared" si="349"/>
        <v>259.60000000000002</v>
      </c>
      <c r="M80" s="29">
        <f t="shared" si="349"/>
        <v>1399.2</v>
      </c>
      <c r="N80" s="29">
        <f t="shared" si="349"/>
        <v>349</v>
      </c>
      <c r="O80" s="29">
        <f t="shared" si="349"/>
        <v>2439.9</v>
      </c>
      <c r="P80" s="29">
        <f t="shared" si="349"/>
        <v>608.6</v>
      </c>
      <c r="Q80" s="29">
        <f t="shared" si="349"/>
        <v>579.70000000000005</v>
      </c>
      <c r="R80" s="29">
        <f t="shared" si="349"/>
        <v>144.6</v>
      </c>
      <c r="S80" s="29">
        <f t="shared" si="349"/>
        <v>3019.6000000000004</v>
      </c>
      <c r="T80" s="29">
        <f t="shared" si="349"/>
        <v>753.2</v>
      </c>
      <c r="U80" s="29">
        <f t="shared" si="349"/>
        <v>813.6</v>
      </c>
      <c r="V80" s="29">
        <f t="shared" si="349"/>
        <v>202.9</v>
      </c>
      <c r="W80" s="29">
        <f t="shared" si="349"/>
        <v>3833.2000000000003</v>
      </c>
      <c r="X80" s="29">
        <f t="shared" si="349"/>
        <v>956.1</v>
      </c>
      <c r="Y80" s="29">
        <f t="shared" si="349"/>
        <v>16425.900000000001</v>
      </c>
      <c r="Z80" s="29">
        <f t="shared" si="349"/>
        <v>16106.2</v>
      </c>
      <c r="AA80" s="29">
        <f t="shared" si="349"/>
        <v>20259.099999999999</v>
      </c>
      <c r="AB80" s="29">
        <f t="shared" si="349"/>
        <v>17062.3</v>
      </c>
      <c r="AC80" s="29">
        <f t="shared" si="349"/>
        <v>978.3</v>
      </c>
      <c r="AD80" s="29">
        <f t="shared" si="349"/>
        <v>244</v>
      </c>
      <c r="AE80" s="29">
        <f t="shared" si="349"/>
        <v>21237.4</v>
      </c>
      <c r="AF80" s="29">
        <f t="shared" si="349"/>
        <v>17306.3</v>
      </c>
      <c r="AG80" s="29">
        <f t="shared" si="349"/>
        <v>756.30000000000007</v>
      </c>
      <c r="AH80" s="29">
        <f t="shared" si="349"/>
        <v>188.6</v>
      </c>
      <c r="AI80" s="29">
        <f t="shared" si="349"/>
        <v>21993.7</v>
      </c>
      <c r="AJ80" s="29">
        <f t="shared" si="349"/>
        <v>17494.900000000001</v>
      </c>
      <c r="AK80" s="29">
        <f t="shared" si="349"/>
        <v>623</v>
      </c>
      <c r="AL80" s="29">
        <f t="shared" si="349"/>
        <v>155.4</v>
      </c>
      <c r="AM80" s="29">
        <f t="shared" si="349"/>
        <v>22616.7</v>
      </c>
      <c r="AN80" s="29">
        <f t="shared" si="349"/>
        <v>17650.3</v>
      </c>
      <c r="AO80" s="29">
        <f t="shared" si="349"/>
        <v>841.3</v>
      </c>
      <c r="AP80" s="29">
        <f t="shared" si="349"/>
        <v>209.8</v>
      </c>
      <c r="AQ80" s="29">
        <f t="shared" si="349"/>
        <v>23458</v>
      </c>
      <c r="AR80" s="29">
        <f t="shared" si="349"/>
        <v>17860.099999999999</v>
      </c>
      <c r="AS80" s="29">
        <f t="shared" si="349"/>
        <v>478.8</v>
      </c>
      <c r="AT80" s="29">
        <f t="shared" si="349"/>
        <v>119.4</v>
      </c>
      <c r="AU80" s="29">
        <f t="shared" si="349"/>
        <v>23936.800000000003</v>
      </c>
      <c r="AV80" s="29">
        <f t="shared" si="349"/>
        <v>17979.5</v>
      </c>
      <c r="AW80" s="29">
        <f t="shared" si="349"/>
        <v>4853.1000000000004</v>
      </c>
      <c r="AX80" s="29">
        <f t="shared" si="349"/>
        <v>4212.8</v>
      </c>
      <c r="AY80" s="29">
        <f t="shared" si="349"/>
        <v>9159.2999999999993</v>
      </c>
      <c r="AZ80" s="29">
        <f t="shared" si="349"/>
        <v>2284.5</v>
      </c>
      <c r="BA80" s="55">
        <f t="shared" ref="BA80:BB95" si="350">IF(E80=0,1,AY80/E80-1)</f>
        <v>4.1906971982390573E-2</v>
      </c>
      <c r="BB80" s="55">
        <f t="shared" si="350"/>
        <v>4.2056287916799606E-2</v>
      </c>
      <c r="BC80" s="29">
        <f t="shared" ref="BC80:BH80" si="351">BC81+BC82+BC83+BC84+BC85+BC86</f>
        <v>676.9</v>
      </c>
      <c r="BD80" s="29">
        <f t="shared" si="351"/>
        <v>163.4</v>
      </c>
      <c r="BE80" s="29">
        <f t="shared" si="351"/>
        <v>2.1</v>
      </c>
      <c r="BF80" s="29">
        <f t="shared" si="351"/>
        <v>0.5</v>
      </c>
      <c r="BG80" s="29">
        <f t="shared" si="351"/>
        <v>679</v>
      </c>
      <c r="BH80" s="29">
        <f t="shared" si="351"/>
        <v>163.9</v>
      </c>
      <c r="BI80" s="55">
        <f t="shared" ref="BI80:BJ96" si="352">IF(K80=0,1,BG80/K80-1)</f>
        <v>-0.34755453060440089</v>
      </c>
      <c r="BJ80" s="55">
        <f t="shared" si="352"/>
        <v>-0.36864406779661019</v>
      </c>
      <c r="BK80" s="29">
        <f t="shared" ref="BK80:BN80" si="353">BK81+BK82+BK83+BK84+BK85+BK86</f>
        <v>170.30000000000007</v>
      </c>
      <c r="BL80" s="29">
        <f t="shared" si="353"/>
        <v>368.4</v>
      </c>
      <c r="BM80" s="29">
        <f t="shared" si="353"/>
        <v>849.30000000000007</v>
      </c>
      <c r="BN80" s="29">
        <f t="shared" si="353"/>
        <v>532.29999999999995</v>
      </c>
      <c r="BO80" s="55">
        <f t="shared" ref="BO80:BP96" si="354">IF(O80=0,1,BM80/O80-1)</f>
        <v>-0.65191196360506576</v>
      </c>
      <c r="BP80" s="55">
        <f t="shared" si="354"/>
        <v>-0.12536970095300703</v>
      </c>
      <c r="BQ80" s="29">
        <f t="shared" ref="BQ80:BT80" si="355">BQ81+BQ82+BQ83+BQ84+BQ85+BQ86</f>
        <v>0</v>
      </c>
      <c r="BR80" s="29">
        <f t="shared" si="355"/>
        <v>0</v>
      </c>
      <c r="BS80" s="29">
        <f t="shared" si="355"/>
        <v>849.30000000000007</v>
      </c>
      <c r="BT80" s="29">
        <f t="shared" si="355"/>
        <v>532.29999999999995</v>
      </c>
      <c r="BU80" s="55">
        <f t="shared" ref="BU80:BV96" si="356">IF(S80=0,1,BS80/S80-1)</f>
        <v>-0.71873758113657438</v>
      </c>
      <c r="BV80" s="55">
        <f t="shared" si="356"/>
        <v>-0.29328199681359546</v>
      </c>
      <c r="BW80" s="29">
        <f t="shared" ref="BW80:BZ80" si="357">BW81+BW82+BW83+BW84+BW85+BW86</f>
        <v>0</v>
      </c>
      <c r="BX80" s="29">
        <f t="shared" si="357"/>
        <v>0</v>
      </c>
      <c r="BY80" s="29">
        <f t="shared" si="357"/>
        <v>849.30000000000007</v>
      </c>
      <c r="BZ80" s="29">
        <f t="shared" si="357"/>
        <v>532.29999999999995</v>
      </c>
      <c r="CA80" s="55">
        <f t="shared" ref="CA80:CB96" si="358">IF(W80=0,1,BY80/W80-1)</f>
        <v>-0.7784357716790149</v>
      </c>
      <c r="CB80" s="55">
        <f t="shared" si="358"/>
        <v>-0.44325907331869052</v>
      </c>
      <c r="CC80" s="29">
        <f t="shared" ref="CC80:CF80" si="359">CC81+CC82+CC83+CC84+CC85+CC86</f>
        <v>0</v>
      </c>
      <c r="CD80" s="29">
        <f t="shared" si="359"/>
        <v>0</v>
      </c>
      <c r="CE80" s="29">
        <f t="shared" si="359"/>
        <v>849.30000000000007</v>
      </c>
      <c r="CF80" s="29">
        <f t="shared" si="359"/>
        <v>532.29999999999995</v>
      </c>
      <c r="CG80" s="55">
        <f t="shared" ref="CG80:CH96" si="360">IF(AA80=0,1,CE80/AA80-1)</f>
        <v>-0.95807809823733536</v>
      </c>
      <c r="CH80" s="55">
        <f t="shared" si="360"/>
        <v>-0.96880256471870729</v>
      </c>
      <c r="CI80" s="29">
        <f t="shared" ref="CI80:CL80" si="361">CI81+CI82+CI83+CI84+CI85+CI86</f>
        <v>0</v>
      </c>
      <c r="CJ80" s="29">
        <f t="shared" si="361"/>
        <v>0</v>
      </c>
      <c r="CK80" s="29">
        <f t="shared" si="361"/>
        <v>849.30000000000007</v>
      </c>
      <c r="CL80" s="29">
        <f t="shared" si="361"/>
        <v>532.29999999999995</v>
      </c>
      <c r="CM80" s="55">
        <f t="shared" ref="CM80:CN96" si="362">IF(AE80=0,1,CK80/AE80-1)</f>
        <v>-0.96000922900166685</v>
      </c>
      <c r="CN80" s="55">
        <f t="shared" si="362"/>
        <v>-0.96924241461201988</v>
      </c>
      <c r="CO80" s="29">
        <f t="shared" ref="CO80:CR80" si="363">CO81+CO82+CO83+CO84+CO85+CO86</f>
        <v>0</v>
      </c>
      <c r="CP80" s="29">
        <f t="shared" si="363"/>
        <v>0</v>
      </c>
      <c r="CQ80" s="29">
        <f t="shared" si="363"/>
        <v>849.30000000000007</v>
      </c>
      <c r="CR80" s="29">
        <f t="shared" si="363"/>
        <v>532.29999999999995</v>
      </c>
      <c r="CS80" s="55">
        <f t="shared" ref="CS80:CT96" si="364">IF(AI80=0,1,CQ80/AI80-1)</f>
        <v>-0.96138439644079898</v>
      </c>
      <c r="CT80" s="55">
        <f t="shared" si="364"/>
        <v>-0.9695739901342677</v>
      </c>
      <c r="CU80" s="29">
        <f t="shared" ref="CU80:CX80" si="365">CU81+CU82+CU83+CU84+CU85+CU86</f>
        <v>0</v>
      </c>
      <c r="CV80" s="29">
        <f t="shared" si="365"/>
        <v>0</v>
      </c>
      <c r="CW80" s="29">
        <f t="shared" si="365"/>
        <v>849.30000000000007</v>
      </c>
      <c r="CX80" s="29">
        <f t="shared" si="365"/>
        <v>532.29999999999995</v>
      </c>
      <c r="CY80" s="55">
        <f t="shared" ref="CY80:CZ96" si="366">IF(AM80=0,1,CW80/AM80-1)</f>
        <v>-0.96244810250832347</v>
      </c>
      <c r="CZ80" s="55">
        <f t="shared" si="366"/>
        <v>-0.96984187237610697</v>
      </c>
      <c r="DA80" s="29">
        <f t="shared" ref="DA80:DD80" si="367">DA81+DA82+DA83+DA84+DA85+DA86</f>
        <v>0</v>
      </c>
      <c r="DB80" s="29">
        <f t="shared" si="367"/>
        <v>0</v>
      </c>
      <c r="DC80" s="29">
        <f t="shared" si="367"/>
        <v>849.30000000000007</v>
      </c>
      <c r="DD80" s="29">
        <f t="shared" si="367"/>
        <v>532.29999999999995</v>
      </c>
      <c r="DE80" s="55">
        <f t="shared" ref="DE80:DF96" si="368">IF(AQ80=0,1,DC80/AQ80-1)</f>
        <v>-0.96379486742262765</v>
      </c>
      <c r="DF80" s="55">
        <f t="shared" si="368"/>
        <v>-0.97019613551995787</v>
      </c>
      <c r="DG80" s="29">
        <f t="shared" ref="DG80:DJ80" si="369">DG81+DG82+DG83+DG84+DG85+DG86</f>
        <v>0</v>
      </c>
      <c r="DH80" s="29">
        <f t="shared" si="369"/>
        <v>0</v>
      </c>
      <c r="DI80" s="29">
        <f t="shared" si="369"/>
        <v>849.30000000000007</v>
      </c>
      <c r="DJ80" s="29">
        <f t="shared" si="369"/>
        <v>532.29999999999995</v>
      </c>
      <c r="DK80" s="55">
        <f t="shared" ref="DK80:DL96" si="370">IF(AU80=0,1,DI80/AU80-1)</f>
        <v>-0.96451906687610711</v>
      </c>
      <c r="DL80" s="55">
        <f t="shared" si="370"/>
        <v>-0.97039405990155458</v>
      </c>
      <c r="DM80" s="29">
        <f t="shared" ref="DM80:DR80" si="371">DM81+DM82+DM83+DM84+DM85+DM86</f>
        <v>0</v>
      </c>
      <c r="DN80" s="29">
        <f t="shared" si="371"/>
        <v>0</v>
      </c>
      <c r="DO80" s="29">
        <f t="shared" si="371"/>
        <v>0</v>
      </c>
      <c r="DP80" s="29">
        <f t="shared" si="371"/>
        <v>0</v>
      </c>
      <c r="DQ80" s="29">
        <f t="shared" si="371"/>
        <v>9159</v>
      </c>
      <c r="DR80" s="29">
        <f t="shared" si="371"/>
        <v>2284</v>
      </c>
      <c r="DS80" s="55">
        <f>IF($AY$80=0,1,DQ80/$AY$80-1)</f>
        <v>-3.275359470689132E-5</v>
      </c>
      <c r="DT80" s="55">
        <f>IF($AZ$80=0,1,DR80/$AZ$80-1)</f>
        <v>-2.1886627270739645E-4</v>
      </c>
      <c r="DU80" s="55">
        <f>IF($E$80=0,1,DQ80/$E$80-1)</f>
        <v>4.187284578370809E-2</v>
      </c>
      <c r="DV80" s="55">
        <f>IF($E$80=0,1,DR80/$E$80-1)</f>
        <v>-0.7401858740288253</v>
      </c>
      <c r="DW80" s="25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</row>
    <row r="81" spans="1:268" s="106" customFormat="1" ht="18" customHeight="1">
      <c r="A81" s="230" t="s">
        <v>38</v>
      </c>
      <c r="B81" s="231"/>
      <c r="C81" s="29">
        <f>'[1]прогноз '!B79</f>
        <v>0</v>
      </c>
      <c r="D81" s="29">
        <f>'[1]прогноз '!C79</f>
        <v>0</v>
      </c>
      <c r="E81" s="29">
        <f>G81+I81+M81+Q81+U81+Y81+AC81+AG81+AK81+AO81+AS81+AW81+1</f>
        <v>8790.9000000000015</v>
      </c>
      <c r="F81" s="29">
        <f>H81+J81+N81+R81+V81+Z81+AD81+AH81+AL81+AP81+AT81+AX81</f>
        <v>2192.3000000000002</v>
      </c>
      <c r="G81" s="29">
        <f>578+H81</f>
        <v>770.1</v>
      </c>
      <c r="H81" s="29">
        <v>192.1</v>
      </c>
      <c r="I81" s="29">
        <f>203.1+J81</f>
        <v>270.60000000000002</v>
      </c>
      <c r="J81" s="29">
        <v>67.5</v>
      </c>
      <c r="K81" s="29">
        <f t="shared" ref="K81:L96" si="372">G81+I81</f>
        <v>1040.7</v>
      </c>
      <c r="L81" s="29">
        <f t="shared" si="372"/>
        <v>259.60000000000002</v>
      </c>
      <c r="M81" s="29">
        <f>1050.2+N81</f>
        <v>1399.2</v>
      </c>
      <c r="N81" s="29">
        <v>349</v>
      </c>
      <c r="O81" s="29">
        <f t="shared" ref="O81:P86" si="373">K81+M81</f>
        <v>2439.9</v>
      </c>
      <c r="P81" s="29">
        <f t="shared" si="373"/>
        <v>608.6</v>
      </c>
      <c r="Q81" s="29">
        <f>435.1+R81</f>
        <v>579.70000000000005</v>
      </c>
      <c r="R81" s="29">
        <v>144.6</v>
      </c>
      <c r="S81" s="29">
        <f t="shared" ref="S81:T96" si="374">O81+Q81</f>
        <v>3019.6000000000004</v>
      </c>
      <c r="T81" s="29">
        <f t="shared" si="374"/>
        <v>753.2</v>
      </c>
      <c r="U81" s="29">
        <f>610.7+V81</f>
        <v>813.6</v>
      </c>
      <c r="V81" s="29">
        <v>202.9</v>
      </c>
      <c r="W81" s="29">
        <f t="shared" ref="W81:X96" si="375">S81+U81</f>
        <v>3833.2000000000003</v>
      </c>
      <c r="X81" s="29">
        <f t="shared" si="375"/>
        <v>956.1</v>
      </c>
      <c r="Y81" s="29">
        <f>319.7+Z81</f>
        <v>425.9</v>
      </c>
      <c r="Z81" s="29">
        <v>106.2</v>
      </c>
      <c r="AA81" s="29">
        <f t="shared" ref="AA81:AB96" si="376">W81+Y81</f>
        <v>4259.1000000000004</v>
      </c>
      <c r="AB81" s="29">
        <f t="shared" si="376"/>
        <v>1062.3</v>
      </c>
      <c r="AC81" s="29">
        <f>734.3+AD81</f>
        <v>978.3</v>
      </c>
      <c r="AD81" s="29">
        <v>244</v>
      </c>
      <c r="AE81" s="29">
        <f t="shared" ref="AE81:AF96" si="377">AA81+AC81</f>
        <v>5237.4000000000005</v>
      </c>
      <c r="AF81" s="29">
        <f t="shared" si="377"/>
        <v>1306.3</v>
      </c>
      <c r="AG81" s="29">
        <f>567.7+AH81</f>
        <v>756.30000000000007</v>
      </c>
      <c r="AH81" s="29">
        <v>188.6</v>
      </c>
      <c r="AI81" s="29">
        <f t="shared" ref="AI81:AJ96" si="378">AE81+AG81</f>
        <v>5993.7000000000007</v>
      </c>
      <c r="AJ81" s="29">
        <f t="shared" si="378"/>
        <v>1494.8999999999999</v>
      </c>
      <c r="AK81" s="29">
        <f>467.6+AL81</f>
        <v>623</v>
      </c>
      <c r="AL81" s="29">
        <v>155.4</v>
      </c>
      <c r="AM81" s="29">
        <f t="shared" ref="AM81:AN96" si="379">AI81+AK81</f>
        <v>6616.7000000000007</v>
      </c>
      <c r="AN81" s="29">
        <f t="shared" si="379"/>
        <v>1650.3</v>
      </c>
      <c r="AO81" s="29">
        <f>631.5+AP81</f>
        <v>841.3</v>
      </c>
      <c r="AP81" s="29">
        <v>209.8</v>
      </c>
      <c r="AQ81" s="29">
        <f t="shared" ref="AQ81:AR96" si="380">AM81+AO81</f>
        <v>7458.0000000000009</v>
      </c>
      <c r="AR81" s="29">
        <f t="shared" si="380"/>
        <v>1860.1</v>
      </c>
      <c r="AS81" s="29">
        <f t="shared" ref="AS81:AZ81" si="381">AS18</f>
        <v>478.8</v>
      </c>
      <c r="AT81" s="29">
        <f t="shared" si="381"/>
        <v>119.4</v>
      </c>
      <c r="AU81" s="29">
        <f t="shared" ref="AU81:AV96" si="382">AQ81+AS81</f>
        <v>7936.8000000000011</v>
      </c>
      <c r="AV81" s="29">
        <f t="shared" si="382"/>
        <v>1979.5</v>
      </c>
      <c r="AW81" s="29">
        <f t="shared" si="381"/>
        <v>853.09999999999991</v>
      </c>
      <c r="AX81" s="29">
        <f t="shared" si="381"/>
        <v>212.8</v>
      </c>
      <c r="AY81" s="29">
        <f t="shared" si="381"/>
        <v>9159.2999999999993</v>
      </c>
      <c r="AZ81" s="29">
        <f t="shared" si="381"/>
        <v>2284.5</v>
      </c>
      <c r="BA81" s="55">
        <f t="shared" si="350"/>
        <v>4.1906971982390573E-2</v>
      </c>
      <c r="BB81" s="55">
        <f t="shared" si="350"/>
        <v>4.2056287916799606E-2</v>
      </c>
      <c r="BC81" s="29">
        <f>BC18</f>
        <v>676.9</v>
      </c>
      <c r="BD81" s="29">
        <f>BD18</f>
        <v>163.4</v>
      </c>
      <c r="BE81" s="29">
        <f t="shared" ref="BE81:BL81" si="383">BE18</f>
        <v>2.1</v>
      </c>
      <c r="BF81" s="29">
        <f t="shared" si="383"/>
        <v>0.5</v>
      </c>
      <c r="BG81" s="29">
        <f t="shared" ref="BG81:BH96" si="384">BC81+BE81</f>
        <v>679</v>
      </c>
      <c r="BH81" s="29">
        <f t="shared" si="384"/>
        <v>163.9</v>
      </c>
      <c r="BI81" s="55">
        <f t="shared" si="352"/>
        <v>-0.34755453060440089</v>
      </c>
      <c r="BJ81" s="55">
        <f t="shared" si="352"/>
        <v>-0.36864406779661019</v>
      </c>
      <c r="BK81" s="29">
        <f t="shared" si="383"/>
        <v>170.30000000000007</v>
      </c>
      <c r="BL81" s="29">
        <f t="shared" si="383"/>
        <v>368.4</v>
      </c>
      <c r="BM81" s="29">
        <f t="shared" ref="BM81:BN96" si="385">BG81+BK81</f>
        <v>849.30000000000007</v>
      </c>
      <c r="BN81" s="29">
        <f t="shared" si="385"/>
        <v>532.29999999999995</v>
      </c>
      <c r="BO81" s="55">
        <f t="shared" si="354"/>
        <v>-0.65191196360506576</v>
      </c>
      <c r="BP81" s="55">
        <f t="shared" si="354"/>
        <v>-0.12536970095300703</v>
      </c>
      <c r="BQ81" s="29"/>
      <c r="BR81" s="29"/>
      <c r="BS81" s="29">
        <f t="shared" ref="BS81:BT96" si="386">BM81+BQ81</f>
        <v>849.30000000000007</v>
      </c>
      <c r="BT81" s="29">
        <f t="shared" si="386"/>
        <v>532.29999999999995</v>
      </c>
      <c r="BU81" s="55">
        <f t="shared" si="356"/>
        <v>-0.71873758113657438</v>
      </c>
      <c r="BV81" s="55">
        <f t="shared" si="356"/>
        <v>-0.29328199681359546</v>
      </c>
      <c r="BW81" s="29"/>
      <c r="BX81" s="29"/>
      <c r="BY81" s="29">
        <f t="shared" ref="BY81:BZ96" si="387">BS81+BW81</f>
        <v>849.30000000000007</v>
      </c>
      <c r="BZ81" s="29">
        <f t="shared" si="387"/>
        <v>532.29999999999995</v>
      </c>
      <c r="CA81" s="55">
        <f t="shared" si="358"/>
        <v>-0.7784357716790149</v>
      </c>
      <c r="CB81" s="55">
        <f t="shared" si="358"/>
        <v>-0.44325907331869052</v>
      </c>
      <c r="CC81" s="29"/>
      <c r="CD81" s="29"/>
      <c r="CE81" s="29">
        <f t="shared" ref="CE81:CF96" si="388">BY81+CC81</f>
        <v>849.30000000000007</v>
      </c>
      <c r="CF81" s="29">
        <f t="shared" si="388"/>
        <v>532.29999999999995</v>
      </c>
      <c r="CG81" s="55">
        <f t="shared" si="360"/>
        <v>-0.80059167429738676</v>
      </c>
      <c r="CH81" s="55">
        <f t="shared" si="360"/>
        <v>-0.49891744328344156</v>
      </c>
      <c r="CI81" s="29"/>
      <c r="CJ81" s="29"/>
      <c r="CK81" s="29">
        <f t="shared" ref="CK81:CL96" si="389">CE81+CI81</f>
        <v>849.30000000000007</v>
      </c>
      <c r="CL81" s="29">
        <f t="shared" si="389"/>
        <v>532.29999999999995</v>
      </c>
      <c r="CM81" s="55">
        <f t="shared" si="362"/>
        <v>-0.83783938595486307</v>
      </c>
      <c r="CN81" s="55">
        <f t="shared" si="362"/>
        <v>-0.59251320523616324</v>
      </c>
      <c r="CO81" s="29"/>
      <c r="CP81" s="29"/>
      <c r="CQ81" s="29">
        <f t="shared" ref="CQ81:CR96" si="390">CK81+CO81</f>
        <v>849.30000000000007</v>
      </c>
      <c r="CR81" s="29">
        <f t="shared" si="390"/>
        <v>532.29999999999995</v>
      </c>
      <c r="CS81" s="55">
        <f t="shared" si="364"/>
        <v>-0.85830121627709088</v>
      </c>
      <c r="CT81" s="55">
        <f t="shared" si="364"/>
        <v>-0.64392267041273665</v>
      </c>
      <c r="CU81" s="29"/>
      <c r="CV81" s="29"/>
      <c r="CW81" s="29">
        <f t="shared" ref="CW81:CX96" si="391">CQ81+CU81</f>
        <v>849.30000000000007</v>
      </c>
      <c r="CX81" s="29">
        <f t="shared" si="391"/>
        <v>532.29999999999995</v>
      </c>
      <c r="CY81" s="55">
        <f t="shared" si="366"/>
        <v>-0.87164296401529462</v>
      </c>
      <c r="CZ81" s="55">
        <f t="shared" si="366"/>
        <v>-0.6774525843785979</v>
      </c>
      <c r="DA81" s="29"/>
      <c r="DB81" s="29"/>
      <c r="DC81" s="29">
        <f t="shared" ref="DC81:DD96" si="392">CW81+DA81</f>
        <v>849.30000000000007</v>
      </c>
      <c r="DD81" s="29">
        <f t="shared" si="392"/>
        <v>532.29999999999995</v>
      </c>
      <c r="DE81" s="55">
        <f t="shared" si="368"/>
        <v>-0.88612228479485111</v>
      </c>
      <c r="DF81" s="55">
        <f t="shared" si="368"/>
        <v>-0.71383258964571805</v>
      </c>
      <c r="DG81" s="29"/>
      <c r="DH81" s="29"/>
      <c r="DI81" s="29">
        <f t="shared" ref="DI81:DJ96" si="393">DC81+DG81</f>
        <v>849.30000000000007</v>
      </c>
      <c r="DJ81" s="29">
        <f t="shared" si="393"/>
        <v>532.29999999999995</v>
      </c>
      <c r="DK81" s="55">
        <f t="shared" si="370"/>
        <v>-0.89299213788932563</v>
      </c>
      <c r="DL81" s="55">
        <f t="shared" si="370"/>
        <v>-0.7310937105329629</v>
      </c>
      <c r="DM81" s="29"/>
      <c r="DN81" s="29"/>
      <c r="DO81" s="29"/>
      <c r="DP81" s="29"/>
      <c r="DQ81" s="29">
        <f>DQ18</f>
        <v>9159</v>
      </c>
      <c r="DR81" s="29">
        <f>DR18</f>
        <v>2284</v>
      </c>
      <c r="DS81" s="55">
        <f>IF($AY$81=0,1,DQ81/$AY$81-1)</f>
        <v>-3.275359470689132E-5</v>
      </c>
      <c r="DT81" s="55">
        <f>IF($AZ$81=0,1,DR81/$AZ$81-1)</f>
        <v>-2.1886627270739645E-4</v>
      </c>
      <c r="DU81" s="55">
        <f>IF($E$81=0,1,DQ81/$E$81-1)</f>
        <v>4.187284578370809E-2</v>
      </c>
      <c r="DV81" s="55">
        <f>IF($E$81=0,1,DR81/$E$81-1)</f>
        <v>-0.7401858740288253</v>
      </c>
      <c r="DW81" s="2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</row>
    <row r="82" spans="1:268" s="106" customFormat="1" ht="18" customHeight="1">
      <c r="A82" s="230" t="s">
        <v>65</v>
      </c>
      <c r="B82" s="231"/>
      <c r="C82" s="29">
        <f>'[1]прогноз '!B80</f>
        <v>0</v>
      </c>
      <c r="D82" s="29">
        <f>'[1]прогноз '!C80</f>
        <v>0</v>
      </c>
      <c r="E82" s="29"/>
      <c r="F82" s="29"/>
      <c r="G82" s="29"/>
      <c r="H82" s="29"/>
      <c r="I82" s="29"/>
      <c r="J82" s="29"/>
      <c r="K82" s="29">
        <f t="shared" si="372"/>
        <v>0</v>
      </c>
      <c r="L82" s="29">
        <f t="shared" si="372"/>
        <v>0</v>
      </c>
      <c r="M82" s="29"/>
      <c r="N82" s="29"/>
      <c r="O82" s="29">
        <f t="shared" si="373"/>
        <v>0</v>
      </c>
      <c r="P82" s="29">
        <f t="shared" si="373"/>
        <v>0</v>
      </c>
      <c r="Q82" s="29"/>
      <c r="R82" s="29"/>
      <c r="S82" s="29">
        <f t="shared" si="374"/>
        <v>0</v>
      </c>
      <c r="T82" s="29">
        <f t="shared" si="374"/>
        <v>0</v>
      </c>
      <c r="U82" s="29"/>
      <c r="V82" s="29"/>
      <c r="W82" s="29">
        <f t="shared" si="375"/>
        <v>0</v>
      </c>
      <c r="X82" s="29">
        <f t="shared" si="375"/>
        <v>0</v>
      </c>
      <c r="Y82" s="29"/>
      <c r="Z82" s="29"/>
      <c r="AA82" s="29">
        <f t="shared" si="376"/>
        <v>0</v>
      </c>
      <c r="AB82" s="29">
        <f t="shared" si="376"/>
        <v>0</v>
      </c>
      <c r="AC82" s="29"/>
      <c r="AD82" s="29"/>
      <c r="AE82" s="29">
        <f t="shared" si="377"/>
        <v>0</v>
      </c>
      <c r="AF82" s="29">
        <f t="shared" si="377"/>
        <v>0</v>
      </c>
      <c r="AG82" s="29"/>
      <c r="AH82" s="29"/>
      <c r="AI82" s="29">
        <f t="shared" si="378"/>
        <v>0</v>
      </c>
      <c r="AJ82" s="29">
        <f t="shared" si="378"/>
        <v>0</v>
      </c>
      <c r="AK82" s="29"/>
      <c r="AL82" s="29"/>
      <c r="AM82" s="29">
        <f t="shared" si="379"/>
        <v>0</v>
      </c>
      <c r="AN82" s="29">
        <f t="shared" si="379"/>
        <v>0</v>
      </c>
      <c r="AO82" s="29"/>
      <c r="AP82" s="29"/>
      <c r="AQ82" s="29">
        <f t="shared" si="380"/>
        <v>0</v>
      </c>
      <c r="AR82" s="29">
        <f t="shared" si="380"/>
        <v>0</v>
      </c>
      <c r="AS82" s="29"/>
      <c r="AT82" s="29"/>
      <c r="AU82" s="29">
        <f t="shared" si="382"/>
        <v>0</v>
      </c>
      <c r="AV82" s="29">
        <f t="shared" si="382"/>
        <v>0</v>
      </c>
      <c r="AW82" s="29"/>
      <c r="AX82" s="29"/>
      <c r="AY82" s="29"/>
      <c r="AZ82" s="29"/>
      <c r="BA82" s="55">
        <f t="shared" si="350"/>
        <v>1</v>
      </c>
      <c r="BB82" s="55">
        <f t="shared" si="350"/>
        <v>1</v>
      </c>
      <c r="BC82" s="29"/>
      <c r="BD82" s="29"/>
      <c r="BE82" s="29"/>
      <c r="BF82" s="29"/>
      <c r="BG82" s="29">
        <f t="shared" si="384"/>
        <v>0</v>
      </c>
      <c r="BH82" s="29">
        <f t="shared" si="384"/>
        <v>0</v>
      </c>
      <c r="BI82" s="55">
        <f t="shared" si="352"/>
        <v>1</v>
      </c>
      <c r="BJ82" s="55">
        <f t="shared" si="352"/>
        <v>1</v>
      </c>
      <c r="BK82" s="29"/>
      <c r="BL82" s="29"/>
      <c r="BM82" s="29">
        <f t="shared" si="385"/>
        <v>0</v>
      </c>
      <c r="BN82" s="29">
        <f t="shared" si="385"/>
        <v>0</v>
      </c>
      <c r="BO82" s="55">
        <f t="shared" si="354"/>
        <v>1</v>
      </c>
      <c r="BP82" s="55">
        <f t="shared" si="354"/>
        <v>1</v>
      </c>
      <c r="BQ82" s="29"/>
      <c r="BR82" s="29"/>
      <c r="BS82" s="29">
        <f t="shared" si="386"/>
        <v>0</v>
      </c>
      <c r="BT82" s="29">
        <f t="shared" si="386"/>
        <v>0</v>
      </c>
      <c r="BU82" s="55">
        <f t="shared" si="356"/>
        <v>1</v>
      </c>
      <c r="BV82" s="55">
        <f t="shared" si="356"/>
        <v>1</v>
      </c>
      <c r="BW82" s="29"/>
      <c r="BX82" s="29"/>
      <c r="BY82" s="29">
        <f t="shared" si="387"/>
        <v>0</v>
      </c>
      <c r="BZ82" s="29">
        <f t="shared" si="387"/>
        <v>0</v>
      </c>
      <c r="CA82" s="55">
        <f t="shared" si="358"/>
        <v>1</v>
      </c>
      <c r="CB82" s="55">
        <f t="shared" si="358"/>
        <v>1</v>
      </c>
      <c r="CC82" s="29"/>
      <c r="CD82" s="29"/>
      <c r="CE82" s="29">
        <f t="shared" si="388"/>
        <v>0</v>
      </c>
      <c r="CF82" s="29">
        <f t="shared" si="388"/>
        <v>0</v>
      </c>
      <c r="CG82" s="55">
        <f t="shared" si="360"/>
        <v>1</v>
      </c>
      <c r="CH82" s="55">
        <f t="shared" si="360"/>
        <v>1</v>
      </c>
      <c r="CI82" s="29"/>
      <c r="CJ82" s="29"/>
      <c r="CK82" s="29">
        <f t="shared" si="389"/>
        <v>0</v>
      </c>
      <c r="CL82" s="29">
        <f t="shared" si="389"/>
        <v>0</v>
      </c>
      <c r="CM82" s="55">
        <f t="shared" si="362"/>
        <v>1</v>
      </c>
      <c r="CN82" s="55">
        <f t="shared" si="362"/>
        <v>1</v>
      </c>
      <c r="CO82" s="29"/>
      <c r="CP82" s="29"/>
      <c r="CQ82" s="29">
        <f t="shared" si="390"/>
        <v>0</v>
      </c>
      <c r="CR82" s="29">
        <f t="shared" si="390"/>
        <v>0</v>
      </c>
      <c r="CS82" s="55">
        <f t="shared" si="364"/>
        <v>1</v>
      </c>
      <c r="CT82" s="55">
        <f t="shared" si="364"/>
        <v>1</v>
      </c>
      <c r="CU82" s="29"/>
      <c r="CV82" s="29"/>
      <c r="CW82" s="29">
        <f t="shared" si="391"/>
        <v>0</v>
      </c>
      <c r="CX82" s="29">
        <f t="shared" si="391"/>
        <v>0</v>
      </c>
      <c r="CY82" s="55">
        <f t="shared" si="366"/>
        <v>1</v>
      </c>
      <c r="CZ82" s="55">
        <f t="shared" si="366"/>
        <v>1</v>
      </c>
      <c r="DA82" s="29"/>
      <c r="DB82" s="29"/>
      <c r="DC82" s="29">
        <f t="shared" si="392"/>
        <v>0</v>
      </c>
      <c r="DD82" s="29">
        <f t="shared" si="392"/>
        <v>0</v>
      </c>
      <c r="DE82" s="55">
        <f t="shared" si="368"/>
        <v>1</v>
      </c>
      <c r="DF82" s="55">
        <f t="shared" si="368"/>
        <v>1</v>
      </c>
      <c r="DG82" s="29"/>
      <c r="DH82" s="29"/>
      <c r="DI82" s="29">
        <f t="shared" si="393"/>
        <v>0</v>
      </c>
      <c r="DJ82" s="29">
        <f t="shared" si="393"/>
        <v>0</v>
      </c>
      <c r="DK82" s="55">
        <f t="shared" si="370"/>
        <v>1</v>
      </c>
      <c r="DL82" s="55">
        <f t="shared" si="370"/>
        <v>1</v>
      </c>
      <c r="DM82" s="29"/>
      <c r="DN82" s="29"/>
      <c r="DO82" s="29"/>
      <c r="DP82" s="29"/>
      <c r="DQ82" s="29">
        <v>0</v>
      </c>
      <c r="DR82" s="29">
        <v>0</v>
      </c>
      <c r="DS82" s="55">
        <f>IF($AY$82=0,1,DQ82/$AY$82-1)</f>
        <v>1</v>
      </c>
      <c r="DT82" s="55">
        <f>IF($AZ$82=0,1,DR82/$AZ$82-1)</f>
        <v>1</v>
      </c>
      <c r="DU82" s="55">
        <f>IF($E$82=0,1,DQ82/$E$82-1)</f>
        <v>1</v>
      </c>
      <c r="DV82" s="55">
        <f>IF($E$82=0,1,DR82/$E$82-1)</f>
        <v>1</v>
      </c>
      <c r="DW82" s="2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</row>
    <row r="83" spans="1:268" s="106" customFormat="1" ht="18" customHeight="1">
      <c r="A83" s="230" t="s">
        <v>66</v>
      </c>
      <c r="B83" s="231"/>
      <c r="C83" s="29">
        <f>C84+C85</f>
        <v>0</v>
      </c>
      <c r="D83" s="29">
        <f t="shared" ref="D83:AZ83" si="394">D84+D85</f>
        <v>0</v>
      </c>
      <c r="E83" s="29">
        <f t="shared" si="394"/>
        <v>0</v>
      </c>
      <c r="F83" s="29">
        <f t="shared" si="394"/>
        <v>0</v>
      </c>
      <c r="G83" s="29">
        <f t="shared" si="394"/>
        <v>0</v>
      </c>
      <c r="H83" s="29">
        <f t="shared" si="394"/>
        <v>0</v>
      </c>
      <c r="I83" s="29">
        <f t="shared" si="394"/>
        <v>0</v>
      </c>
      <c r="J83" s="29">
        <f t="shared" si="394"/>
        <v>0</v>
      </c>
      <c r="K83" s="29">
        <f t="shared" si="372"/>
        <v>0</v>
      </c>
      <c r="L83" s="29">
        <f t="shared" si="372"/>
        <v>0</v>
      </c>
      <c r="M83" s="29">
        <f t="shared" si="394"/>
        <v>0</v>
      </c>
      <c r="N83" s="29">
        <f t="shared" si="394"/>
        <v>0</v>
      </c>
      <c r="O83" s="29">
        <f t="shared" si="373"/>
        <v>0</v>
      </c>
      <c r="P83" s="29">
        <f t="shared" si="373"/>
        <v>0</v>
      </c>
      <c r="Q83" s="29">
        <f t="shared" si="394"/>
        <v>0</v>
      </c>
      <c r="R83" s="29">
        <f t="shared" si="394"/>
        <v>0</v>
      </c>
      <c r="S83" s="29">
        <f t="shared" si="374"/>
        <v>0</v>
      </c>
      <c r="T83" s="29">
        <f t="shared" si="374"/>
        <v>0</v>
      </c>
      <c r="U83" s="29">
        <f t="shared" si="394"/>
        <v>0</v>
      </c>
      <c r="V83" s="29">
        <f t="shared" si="394"/>
        <v>0</v>
      </c>
      <c r="W83" s="29">
        <f t="shared" si="375"/>
        <v>0</v>
      </c>
      <c r="X83" s="29">
        <f t="shared" si="375"/>
        <v>0</v>
      </c>
      <c r="Y83" s="29">
        <f t="shared" si="394"/>
        <v>0</v>
      </c>
      <c r="Z83" s="29">
        <f t="shared" si="394"/>
        <v>0</v>
      </c>
      <c r="AA83" s="29">
        <f t="shared" si="376"/>
        <v>0</v>
      </c>
      <c r="AB83" s="29">
        <f t="shared" si="376"/>
        <v>0</v>
      </c>
      <c r="AC83" s="29">
        <f t="shared" si="394"/>
        <v>0</v>
      </c>
      <c r="AD83" s="29">
        <f t="shared" si="394"/>
        <v>0</v>
      </c>
      <c r="AE83" s="29">
        <f t="shared" si="377"/>
        <v>0</v>
      </c>
      <c r="AF83" s="29">
        <f t="shared" si="377"/>
        <v>0</v>
      </c>
      <c r="AG83" s="29">
        <f t="shared" si="394"/>
        <v>0</v>
      </c>
      <c r="AH83" s="29">
        <f t="shared" si="394"/>
        <v>0</v>
      </c>
      <c r="AI83" s="29">
        <f t="shared" si="378"/>
        <v>0</v>
      </c>
      <c r="AJ83" s="29">
        <f t="shared" si="378"/>
        <v>0</v>
      </c>
      <c r="AK83" s="29">
        <f t="shared" si="394"/>
        <v>0</v>
      </c>
      <c r="AL83" s="29">
        <f t="shared" si="394"/>
        <v>0</v>
      </c>
      <c r="AM83" s="29">
        <f t="shared" si="379"/>
        <v>0</v>
      </c>
      <c r="AN83" s="29">
        <f t="shared" si="379"/>
        <v>0</v>
      </c>
      <c r="AO83" s="29">
        <f t="shared" si="394"/>
        <v>0</v>
      </c>
      <c r="AP83" s="29">
        <f t="shared" si="394"/>
        <v>0</v>
      </c>
      <c r="AQ83" s="29">
        <f t="shared" si="380"/>
        <v>0</v>
      </c>
      <c r="AR83" s="29">
        <f t="shared" si="380"/>
        <v>0</v>
      </c>
      <c r="AS83" s="29">
        <f t="shared" si="394"/>
        <v>0</v>
      </c>
      <c r="AT83" s="29">
        <f t="shared" si="394"/>
        <v>0</v>
      </c>
      <c r="AU83" s="29">
        <f t="shared" si="382"/>
        <v>0</v>
      </c>
      <c r="AV83" s="29">
        <f t="shared" si="382"/>
        <v>0</v>
      </c>
      <c r="AW83" s="29">
        <f t="shared" si="394"/>
        <v>0</v>
      </c>
      <c r="AX83" s="29">
        <f t="shared" si="394"/>
        <v>0</v>
      </c>
      <c r="AY83" s="29">
        <f t="shared" si="394"/>
        <v>0</v>
      </c>
      <c r="AZ83" s="29">
        <f t="shared" si="394"/>
        <v>0</v>
      </c>
      <c r="BA83" s="55">
        <f t="shared" si="350"/>
        <v>1</v>
      </c>
      <c r="BB83" s="55">
        <f t="shared" si="350"/>
        <v>1</v>
      </c>
      <c r="BC83" s="29"/>
      <c r="BD83" s="29"/>
      <c r="BE83" s="29"/>
      <c r="BF83" s="29"/>
      <c r="BG83" s="29">
        <f t="shared" si="384"/>
        <v>0</v>
      </c>
      <c r="BH83" s="29">
        <f t="shared" si="384"/>
        <v>0</v>
      </c>
      <c r="BI83" s="55">
        <f t="shared" si="352"/>
        <v>1</v>
      </c>
      <c r="BJ83" s="55">
        <f t="shared" si="352"/>
        <v>1</v>
      </c>
      <c r="BK83" s="29"/>
      <c r="BL83" s="29"/>
      <c r="BM83" s="29">
        <f t="shared" si="385"/>
        <v>0</v>
      </c>
      <c r="BN83" s="29">
        <f t="shared" si="385"/>
        <v>0</v>
      </c>
      <c r="BO83" s="55">
        <f t="shared" si="354"/>
        <v>1</v>
      </c>
      <c r="BP83" s="55">
        <f t="shared" si="354"/>
        <v>1</v>
      </c>
      <c r="BQ83" s="29"/>
      <c r="BR83" s="29"/>
      <c r="BS83" s="29">
        <f t="shared" si="386"/>
        <v>0</v>
      </c>
      <c r="BT83" s="29">
        <f t="shared" si="386"/>
        <v>0</v>
      </c>
      <c r="BU83" s="55">
        <f t="shared" si="356"/>
        <v>1</v>
      </c>
      <c r="BV83" s="55">
        <f t="shared" si="356"/>
        <v>1</v>
      </c>
      <c r="BW83" s="29"/>
      <c r="BX83" s="29"/>
      <c r="BY83" s="29">
        <f t="shared" si="387"/>
        <v>0</v>
      </c>
      <c r="BZ83" s="29">
        <f t="shared" si="387"/>
        <v>0</v>
      </c>
      <c r="CA83" s="55">
        <f t="shared" si="358"/>
        <v>1</v>
      </c>
      <c r="CB83" s="55">
        <f t="shared" si="358"/>
        <v>1</v>
      </c>
      <c r="CC83" s="29"/>
      <c r="CD83" s="29"/>
      <c r="CE83" s="29">
        <f t="shared" si="388"/>
        <v>0</v>
      </c>
      <c r="CF83" s="29">
        <f t="shared" si="388"/>
        <v>0</v>
      </c>
      <c r="CG83" s="55">
        <f t="shared" si="360"/>
        <v>1</v>
      </c>
      <c r="CH83" s="55">
        <f t="shared" si="360"/>
        <v>1</v>
      </c>
      <c r="CI83" s="29"/>
      <c r="CJ83" s="29"/>
      <c r="CK83" s="29">
        <f t="shared" si="389"/>
        <v>0</v>
      </c>
      <c r="CL83" s="29">
        <f t="shared" si="389"/>
        <v>0</v>
      </c>
      <c r="CM83" s="55">
        <f t="shared" si="362"/>
        <v>1</v>
      </c>
      <c r="CN83" s="55">
        <f t="shared" si="362"/>
        <v>1</v>
      </c>
      <c r="CO83" s="29"/>
      <c r="CP83" s="29"/>
      <c r="CQ83" s="29">
        <f t="shared" si="390"/>
        <v>0</v>
      </c>
      <c r="CR83" s="29">
        <f t="shared" si="390"/>
        <v>0</v>
      </c>
      <c r="CS83" s="55">
        <f t="shared" si="364"/>
        <v>1</v>
      </c>
      <c r="CT83" s="55">
        <f t="shared" si="364"/>
        <v>1</v>
      </c>
      <c r="CU83" s="29"/>
      <c r="CV83" s="29"/>
      <c r="CW83" s="29">
        <f t="shared" si="391"/>
        <v>0</v>
      </c>
      <c r="CX83" s="29">
        <f t="shared" si="391"/>
        <v>0</v>
      </c>
      <c r="CY83" s="55">
        <f t="shared" si="366"/>
        <v>1</v>
      </c>
      <c r="CZ83" s="55">
        <f t="shared" si="366"/>
        <v>1</v>
      </c>
      <c r="DA83" s="29"/>
      <c r="DB83" s="29"/>
      <c r="DC83" s="29">
        <f t="shared" si="392"/>
        <v>0</v>
      </c>
      <c r="DD83" s="29">
        <f t="shared" si="392"/>
        <v>0</v>
      </c>
      <c r="DE83" s="55">
        <f t="shared" si="368"/>
        <v>1</v>
      </c>
      <c r="DF83" s="55">
        <f t="shared" si="368"/>
        <v>1</v>
      </c>
      <c r="DG83" s="29"/>
      <c r="DH83" s="29"/>
      <c r="DI83" s="29">
        <f t="shared" si="393"/>
        <v>0</v>
      </c>
      <c r="DJ83" s="29">
        <f t="shared" si="393"/>
        <v>0</v>
      </c>
      <c r="DK83" s="55">
        <f t="shared" si="370"/>
        <v>1</v>
      </c>
      <c r="DL83" s="55">
        <f t="shared" si="370"/>
        <v>1</v>
      </c>
      <c r="DM83" s="29"/>
      <c r="DN83" s="29"/>
      <c r="DO83" s="29"/>
      <c r="DP83" s="29"/>
      <c r="DQ83" s="29">
        <v>0</v>
      </c>
      <c r="DR83" s="29">
        <v>0</v>
      </c>
      <c r="DS83" s="55">
        <f>IF($AY$83=0,1,DQ83/$AY$83-1)</f>
        <v>1</v>
      </c>
      <c r="DT83" s="55">
        <f>IF($AZ$83=0,1,DR83/$AZ$83-1)</f>
        <v>1</v>
      </c>
      <c r="DU83" s="55">
        <f>IF($E$83=0,1,DQ83/$E$83-1)</f>
        <v>1</v>
      </c>
      <c r="DV83" s="55">
        <f>IF($E$83=0,1,DR83/$E$83-1)</f>
        <v>1</v>
      </c>
      <c r="DW83" s="2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</row>
    <row r="84" spans="1:268" s="106" customFormat="1" ht="18" customHeight="1">
      <c r="A84" s="230" t="s">
        <v>67</v>
      </c>
      <c r="B84" s="231"/>
      <c r="C84" s="29">
        <f>'[1]прогноз '!B82</f>
        <v>0</v>
      </c>
      <c r="D84" s="29">
        <f>'[1]прогноз '!C82</f>
        <v>0</v>
      </c>
      <c r="E84" s="29"/>
      <c r="F84" s="29"/>
      <c r="G84" s="29"/>
      <c r="H84" s="29"/>
      <c r="I84" s="29"/>
      <c r="J84" s="29"/>
      <c r="K84" s="29">
        <f t="shared" si="372"/>
        <v>0</v>
      </c>
      <c r="L84" s="29">
        <f t="shared" si="372"/>
        <v>0</v>
      </c>
      <c r="M84" s="29"/>
      <c r="N84" s="29"/>
      <c r="O84" s="29">
        <f t="shared" si="373"/>
        <v>0</v>
      </c>
      <c r="P84" s="29">
        <f t="shared" si="373"/>
        <v>0</v>
      </c>
      <c r="Q84" s="29"/>
      <c r="R84" s="29"/>
      <c r="S84" s="29">
        <f t="shared" si="374"/>
        <v>0</v>
      </c>
      <c r="T84" s="29">
        <f t="shared" si="374"/>
        <v>0</v>
      </c>
      <c r="U84" s="29"/>
      <c r="V84" s="29"/>
      <c r="W84" s="29">
        <f t="shared" si="375"/>
        <v>0</v>
      </c>
      <c r="X84" s="29">
        <f t="shared" si="375"/>
        <v>0</v>
      </c>
      <c r="Y84" s="29"/>
      <c r="Z84" s="29"/>
      <c r="AA84" s="29">
        <f t="shared" si="376"/>
        <v>0</v>
      </c>
      <c r="AB84" s="29">
        <f t="shared" si="376"/>
        <v>0</v>
      </c>
      <c r="AC84" s="29"/>
      <c r="AD84" s="29"/>
      <c r="AE84" s="29">
        <f t="shared" si="377"/>
        <v>0</v>
      </c>
      <c r="AF84" s="29">
        <f t="shared" si="377"/>
        <v>0</v>
      </c>
      <c r="AG84" s="29"/>
      <c r="AH84" s="29"/>
      <c r="AI84" s="29">
        <f t="shared" si="378"/>
        <v>0</v>
      </c>
      <c r="AJ84" s="29">
        <f t="shared" si="378"/>
        <v>0</v>
      </c>
      <c r="AK84" s="29"/>
      <c r="AL84" s="29"/>
      <c r="AM84" s="29">
        <f t="shared" si="379"/>
        <v>0</v>
      </c>
      <c r="AN84" s="29">
        <f t="shared" si="379"/>
        <v>0</v>
      </c>
      <c r="AO84" s="29"/>
      <c r="AP84" s="29"/>
      <c r="AQ84" s="29">
        <f t="shared" si="380"/>
        <v>0</v>
      </c>
      <c r="AR84" s="29">
        <f t="shared" si="380"/>
        <v>0</v>
      </c>
      <c r="AS84" s="29"/>
      <c r="AT84" s="29"/>
      <c r="AU84" s="29">
        <f t="shared" si="382"/>
        <v>0</v>
      </c>
      <c r="AV84" s="29">
        <f t="shared" si="382"/>
        <v>0</v>
      </c>
      <c r="AW84" s="29"/>
      <c r="AX84" s="29"/>
      <c r="AY84" s="29"/>
      <c r="AZ84" s="29"/>
      <c r="BA84" s="55">
        <f t="shared" si="350"/>
        <v>1</v>
      </c>
      <c r="BB84" s="55">
        <f t="shared" si="350"/>
        <v>1</v>
      </c>
      <c r="BC84" s="29"/>
      <c r="BD84" s="29"/>
      <c r="BE84" s="29"/>
      <c r="BF84" s="29"/>
      <c r="BG84" s="29">
        <f t="shared" si="384"/>
        <v>0</v>
      </c>
      <c r="BH84" s="29">
        <f t="shared" si="384"/>
        <v>0</v>
      </c>
      <c r="BI84" s="55">
        <f t="shared" si="352"/>
        <v>1</v>
      </c>
      <c r="BJ84" s="55">
        <f t="shared" si="352"/>
        <v>1</v>
      </c>
      <c r="BK84" s="29"/>
      <c r="BL84" s="29"/>
      <c r="BM84" s="29">
        <f t="shared" si="385"/>
        <v>0</v>
      </c>
      <c r="BN84" s="29">
        <f t="shared" si="385"/>
        <v>0</v>
      </c>
      <c r="BO84" s="55">
        <f t="shared" si="354"/>
        <v>1</v>
      </c>
      <c r="BP84" s="55">
        <f t="shared" si="354"/>
        <v>1</v>
      </c>
      <c r="BQ84" s="29"/>
      <c r="BR84" s="29"/>
      <c r="BS84" s="29">
        <f t="shared" si="386"/>
        <v>0</v>
      </c>
      <c r="BT84" s="29">
        <f t="shared" si="386"/>
        <v>0</v>
      </c>
      <c r="BU84" s="55">
        <f t="shared" si="356"/>
        <v>1</v>
      </c>
      <c r="BV84" s="55">
        <f t="shared" si="356"/>
        <v>1</v>
      </c>
      <c r="BW84" s="29"/>
      <c r="BX84" s="29"/>
      <c r="BY84" s="29">
        <f t="shared" si="387"/>
        <v>0</v>
      </c>
      <c r="BZ84" s="29">
        <f t="shared" si="387"/>
        <v>0</v>
      </c>
      <c r="CA84" s="55">
        <f t="shared" si="358"/>
        <v>1</v>
      </c>
      <c r="CB84" s="55">
        <f t="shared" si="358"/>
        <v>1</v>
      </c>
      <c r="CC84" s="29"/>
      <c r="CD84" s="29"/>
      <c r="CE84" s="29">
        <f t="shared" si="388"/>
        <v>0</v>
      </c>
      <c r="CF84" s="29">
        <f t="shared" si="388"/>
        <v>0</v>
      </c>
      <c r="CG84" s="55">
        <f t="shared" si="360"/>
        <v>1</v>
      </c>
      <c r="CH84" s="55">
        <f t="shared" si="360"/>
        <v>1</v>
      </c>
      <c r="CI84" s="29"/>
      <c r="CJ84" s="29"/>
      <c r="CK84" s="29">
        <f t="shared" si="389"/>
        <v>0</v>
      </c>
      <c r="CL84" s="29">
        <f t="shared" si="389"/>
        <v>0</v>
      </c>
      <c r="CM84" s="55">
        <f t="shared" si="362"/>
        <v>1</v>
      </c>
      <c r="CN84" s="55">
        <f t="shared" si="362"/>
        <v>1</v>
      </c>
      <c r="CO84" s="29"/>
      <c r="CP84" s="29"/>
      <c r="CQ84" s="29">
        <f t="shared" si="390"/>
        <v>0</v>
      </c>
      <c r="CR84" s="29">
        <f t="shared" si="390"/>
        <v>0</v>
      </c>
      <c r="CS84" s="55">
        <f t="shared" si="364"/>
        <v>1</v>
      </c>
      <c r="CT84" s="55">
        <f t="shared" si="364"/>
        <v>1</v>
      </c>
      <c r="CU84" s="29"/>
      <c r="CV84" s="29"/>
      <c r="CW84" s="29">
        <f t="shared" si="391"/>
        <v>0</v>
      </c>
      <c r="CX84" s="29">
        <f t="shared" si="391"/>
        <v>0</v>
      </c>
      <c r="CY84" s="55">
        <f t="shared" si="366"/>
        <v>1</v>
      </c>
      <c r="CZ84" s="55">
        <f t="shared" si="366"/>
        <v>1</v>
      </c>
      <c r="DA84" s="29"/>
      <c r="DB84" s="29"/>
      <c r="DC84" s="29">
        <f t="shared" si="392"/>
        <v>0</v>
      </c>
      <c r="DD84" s="29">
        <f t="shared" si="392"/>
        <v>0</v>
      </c>
      <c r="DE84" s="55">
        <f t="shared" si="368"/>
        <v>1</v>
      </c>
      <c r="DF84" s="55">
        <f t="shared" si="368"/>
        <v>1</v>
      </c>
      <c r="DG84" s="29"/>
      <c r="DH84" s="29"/>
      <c r="DI84" s="29">
        <f t="shared" si="393"/>
        <v>0</v>
      </c>
      <c r="DJ84" s="29">
        <f t="shared" si="393"/>
        <v>0</v>
      </c>
      <c r="DK84" s="55">
        <f t="shared" si="370"/>
        <v>1</v>
      </c>
      <c r="DL84" s="55">
        <f t="shared" si="370"/>
        <v>1</v>
      </c>
      <c r="DM84" s="29"/>
      <c r="DN84" s="29"/>
      <c r="DO84" s="29"/>
      <c r="DP84" s="29"/>
      <c r="DQ84" s="29">
        <v>0</v>
      </c>
      <c r="DR84" s="29">
        <v>0</v>
      </c>
      <c r="DS84" s="55">
        <f>IF($AY$84=0,1,DQ84/$AY$84-1)</f>
        <v>1</v>
      </c>
      <c r="DT84" s="55">
        <f>IF($AZ$84=0,1,DR84/$AZ$84-1)</f>
        <v>1</v>
      </c>
      <c r="DU84" s="55">
        <f>IF($E$84=0,1,DQ84/$E$84-1)</f>
        <v>1</v>
      </c>
      <c r="DV84" s="55">
        <f>IF($E$84=0,1,DR84/$E$84-1)</f>
        <v>1</v>
      </c>
      <c r="DW84" s="2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</row>
    <row r="85" spans="1:268" s="106" customFormat="1" ht="18" customHeight="1">
      <c r="A85" s="230" t="s">
        <v>34</v>
      </c>
      <c r="B85" s="231"/>
      <c r="C85" s="29">
        <f>'[1]прогноз '!B83</f>
        <v>0</v>
      </c>
      <c r="D85" s="29">
        <f>'[1]прогноз '!C83</f>
        <v>0</v>
      </c>
      <c r="E85" s="29"/>
      <c r="F85" s="29"/>
      <c r="G85" s="29"/>
      <c r="H85" s="29"/>
      <c r="I85" s="29"/>
      <c r="J85" s="29"/>
      <c r="K85" s="29">
        <f t="shared" si="372"/>
        <v>0</v>
      </c>
      <c r="L85" s="29">
        <f t="shared" si="372"/>
        <v>0</v>
      </c>
      <c r="M85" s="29"/>
      <c r="N85" s="29"/>
      <c r="O85" s="29">
        <f t="shared" si="373"/>
        <v>0</v>
      </c>
      <c r="P85" s="29">
        <f t="shared" si="373"/>
        <v>0</v>
      </c>
      <c r="Q85" s="29"/>
      <c r="R85" s="29"/>
      <c r="S85" s="29">
        <f t="shared" si="374"/>
        <v>0</v>
      </c>
      <c r="T85" s="29">
        <f t="shared" si="374"/>
        <v>0</v>
      </c>
      <c r="U85" s="29"/>
      <c r="V85" s="29"/>
      <c r="W85" s="29">
        <f t="shared" si="375"/>
        <v>0</v>
      </c>
      <c r="X85" s="29">
        <f t="shared" si="375"/>
        <v>0</v>
      </c>
      <c r="Y85" s="29"/>
      <c r="Z85" s="29"/>
      <c r="AA85" s="29">
        <f t="shared" si="376"/>
        <v>0</v>
      </c>
      <c r="AB85" s="29">
        <f t="shared" si="376"/>
        <v>0</v>
      </c>
      <c r="AC85" s="29"/>
      <c r="AD85" s="29"/>
      <c r="AE85" s="29">
        <f t="shared" si="377"/>
        <v>0</v>
      </c>
      <c r="AF85" s="29">
        <f t="shared" si="377"/>
        <v>0</v>
      </c>
      <c r="AG85" s="29"/>
      <c r="AH85" s="29"/>
      <c r="AI85" s="29">
        <f t="shared" si="378"/>
        <v>0</v>
      </c>
      <c r="AJ85" s="29">
        <f t="shared" si="378"/>
        <v>0</v>
      </c>
      <c r="AK85" s="29"/>
      <c r="AL85" s="29"/>
      <c r="AM85" s="29">
        <f t="shared" si="379"/>
        <v>0</v>
      </c>
      <c r="AN85" s="29">
        <f t="shared" si="379"/>
        <v>0</v>
      </c>
      <c r="AO85" s="29"/>
      <c r="AP85" s="29"/>
      <c r="AQ85" s="29">
        <f t="shared" si="380"/>
        <v>0</v>
      </c>
      <c r="AR85" s="29">
        <f t="shared" si="380"/>
        <v>0</v>
      </c>
      <c r="AS85" s="29"/>
      <c r="AT85" s="29"/>
      <c r="AU85" s="29">
        <f t="shared" si="382"/>
        <v>0</v>
      </c>
      <c r="AV85" s="29">
        <f t="shared" si="382"/>
        <v>0</v>
      </c>
      <c r="AW85" s="29"/>
      <c r="AX85" s="29"/>
      <c r="AY85" s="29"/>
      <c r="AZ85" s="29"/>
      <c r="BA85" s="55">
        <f t="shared" si="350"/>
        <v>1</v>
      </c>
      <c r="BB85" s="55">
        <f t="shared" si="350"/>
        <v>1</v>
      </c>
      <c r="BC85" s="29"/>
      <c r="BD85" s="29"/>
      <c r="BE85" s="29"/>
      <c r="BF85" s="29"/>
      <c r="BG85" s="29">
        <f t="shared" si="384"/>
        <v>0</v>
      </c>
      <c r="BH85" s="29">
        <f t="shared" si="384"/>
        <v>0</v>
      </c>
      <c r="BI85" s="55">
        <f t="shared" si="352"/>
        <v>1</v>
      </c>
      <c r="BJ85" s="55">
        <f t="shared" si="352"/>
        <v>1</v>
      </c>
      <c r="BK85" s="29"/>
      <c r="BL85" s="29"/>
      <c r="BM85" s="29">
        <f t="shared" si="385"/>
        <v>0</v>
      </c>
      <c r="BN85" s="29">
        <f t="shared" si="385"/>
        <v>0</v>
      </c>
      <c r="BO85" s="55">
        <f t="shared" si="354"/>
        <v>1</v>
      </c>
      <c r="BP85" s="55">
        <f t="shared" si="354"/>
        <v>1</v>
      </c>
      <c r="BQ85" s="29"/>
      <c r="BR85" s="29"/>
      <c r="BS85" s="29">
        <f t="shared" si="386"/>
        <v>0</v>
      </c>
      <c r="BT85" s="29">
        <f t="shared" si="386"/>
        <v>0</v>
      </c>
      <c r="BU85" s="55">
        <f t="shared" si="356"/>
        <v>1</v>
      </c>
      <c r="BV85" s="55">
        <f t="shared" si="356"/>
        <v>1</v>
      </c>
      <c r="BW85" s="29"/>
      <c r="BX85" s="29"/>
      <c r="BY85" s="29">
        <f t="shared" si="387"/>
        <v>0</v>
      </c>
      <c r="BZ85" s="29">
        <f t="shared" si="387"/>
        <v>0</v>
      </c>
      <c r="CA85" s="55">
        <f t="shared" si="358"/>
        <v>1</v>
      </c>
      <c r="CB85" s="55">
        <f t="shared" si="358"/>
        <v>1</v>
      </c>
      <c r="CC85" s="29"/>
      <c r="CD85" s="29"/>
      <c r="CE85" s="29">
        <f t="shared" si="388"/>
        <v>0</v>
      </c>
      <c r="CF85" s="29">
        <f t="shared" si="388"/>
        <v>0</v>
      </c>
      <c r="CG85" s="55">
        <f t="shared" si="360"/>
        <v>1</v>
      </c>
      <c r="CH85" s="55">
        <f t="shared" si="360"/>
        <v>1</v>
      </c>
      <c r="CI85" s="29"/>
      <c r="CJ85" s="29"/>
      <c r="CK85" s="29">
        <f t="shared" si="389"/>
        <v>0</v>
      </c>
      <c r="CL85" s="29">
        <f t="shared" si="389"/>
        <v>0</v>
      </c>
      <c r="CM85" s="55">
        <f t="shared" si="362"/>
        <v>1</v>
      </c>
      <c r="CN85" s="55">
        <f t="shared" si="362"/>
        <v>1</v>
      </c>
      <c r="CO85" s="29"/>
      <c r="CP85" s="29"/>
      <c r="CQ85" s="29">
        <f t="shared" si="390"/>
        <v>0</v>
      </c>
      <c r="CR85" s="29">
        <f t="shared" si="390"/>
        <v>0</v>
      </c>
      <c r="CS85" s="55">
        <f t="shared" si="364"/>
        <v>1</v>
      </c>
      <c r="CT85" s="55">
        <f t="shared" si="364"/>
        <v>1</v>
      </c>
      <c r="CU85" s="29"/>
      <c r="CV85" s="29"/>
      <c r="CW85" s="29">
        <f t="shared" si="391"/>
        <v>0</v>
      </c>
      <c r="CX85" s="29">
        <f t="shared" si="391"/>
        <v>0</v>
      </c>
      <c r="CY85" s="55">
        <f t="shared" si="366"/>
        <v>1</v>
      </c>
      <c r="CZ85" s="55">
        <f t="shared" si="366"/>
        <v>1</v>
      </c>
      <c r="DA85" s="29"/>
      <c r="DB85" s="29"/>
      <c r="DC85" s="29">
        <f t="shared" si="392"/>
        <v>0</v>
      </c>
      <c r="DD85" s="29">
        <f t="shared" si="392"/>
        <v>0</v>
      </c>
      <c r="DE85" s="55">
        <f t="shared" si="368"/>
        <v>1</v>
      </c>
      <c r="DF85" s="55">
        <f t="shared" si="368"/>
        <v>1</v>
      </c>
      <c r="DG85" s="29"/>
      <c r="DH85" s="29"/>
      <c r="DI85" s="29">
        <f t="shared" si="393"/>
        <v>0</v>
      </c>
      <c r="DJ85" s="29">
        <f t="shared" si="393"/>
        <v>0</v>
      </c>
      <c r="DK85" s="55">
        <f t="shared" si="370"/>
        <v>1</v>
      </c>
      <c r="DL85" s="55">
        <f t="shared" si="370"/>
        <v>1</v>
      </c>
      <c r="DM85" s="29"/>
      <c r="DN85" s="29"/>
      <c r="DO85" s="29"/>
      <c r="DP85" s="29"/>
      <c r="DQ85" s="29">
        <v>0</v>
      </c>
      <c r="DR85" s="29">
        <v>0</v>
      </c>
      <c r="DS85" s="55">
        <f>IF($AY$85=0,1,DQ85/$AY$85-1)</f>
        <v>1</v>
      </c>
      <c r="DT85" s="55">
        <f>IF($AZ$85=0,1,DR85/$AZ$85-1)</f>
        <v>1</v>
      </c>
      <c r="DU85" s="55">
        <f>IF($E$85=0,1,DQ85/$E$85-1)</f>
        <v>1</v>
      </c>
      <c r="DV85" s="55">
        <f>IF($E$85=0,1,DR85/$E$85-1)</f>
        <v>1</v>
      </c>
      <c r="DW85" s="2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</row>
    <row r="86" spans="1:268" s="106" customFormat="1" ht="18" customHeight="1">
      <c r="A86" s="230" t="s">
        <v>114</v>
      </c>
      <c r="B86" s="231"/>
      <c r="C86" s="29">
        <f>'[1]прогноз '!B84</f>
        <v>0</v>
      </c>
      <c r="D86" s="29">
        <f>'[1]прогноз '!C84</f>
        <v>0</v>
      </c>
      <c r="E86" s="29"/>
      <c r="F86" s="29"/>
      <c r="G86" s="29">
        <v>0</v>
      </c>
      <c r="H86" s="29">
        <v>0</v>
      </c>
      <c r="I86" s="29">
        <v>0</v>
      </c>
      <c r="J86" s="29">
        <v>0</v>
      </c>
      <c r="K86" s="29">
        <f t="shared" si="372"/>
        <v>0</v>
      </c>
      <c r="L86" s="29">
        <f t="shared" si="372"/>
        <v>0</v>
      </c>
      <c r="M86" s="29">
        <v>0</v>
      </c>
      <c r="N86" s="29">
        <v>0</v>
      </c>
      <c r="O86" s="29">
        <f t="shared" si="373"/>
        <v>0</v>
      </c>
      <c r="P86" s="29">
        <f t="shared" si="373"/>
        <v>0</v>
      </c>
      <c r="Q86" s="29">
        <v>0</v>
      </c>
      <c r="R86" s="29">
        <v>0</v>
      </c>
      <c r="S86" s="29">
        <f t="shared" si="374"/>
        <v>0</v>
      </c>
      <c r="T86" s="29">
        <f t="shared" si="374"/>
        <v>0</v>
      </c>
      <c r="U86" s="29">
        <v>0</v>
      </c>
      <c r="V86" s="29">
        <v>0</v>
      </c>
      <c r="W86" s="29">
        <f t="shared" si="375"/>
        <v>0</v>
      </c>
      <c r="X86" s="29">
        <f t="shared" si="375"/>
        <v>0</v>
      </c>
      <c r="Y86" s="29">
        <v>16000</v>
      </c>
      <c r="Z86" s="29">
        <v>16000</v>
      </c>
      <c r="AA86" s="29">
        <f t="shared" si="376"/>
        <v>16000</v>
      </c>
      <c r="AB86" s="29">
        <f t="shared" si="376"/>
        <v>16000</v>
      </c>
      <c r="AC86" s="29">
        <v>0</v>
      </c>
      <c r="AD86" s="29">
        <v>0</v>
      </c>
      <c r="AE86" s="29">
        <f t="shared" si="377"/>
        <v>16000</v>
      </c>
      <c r="AF86" s="29">
        <f t="shared" si="377"/>
        <v>16000</v>
      </c>
      <c r="AG86" s="29">
        <v>0</v>
      </c>
      <c r="AH86" s="29">
        <v>0</v>
      </c>
      <c r="AI86" s="29">
        <f t="shared" si="378"/>
        <v>16000</v>
      </c>
      <c r="AJ86" s="29">
        <f t="shared" si="378"/>
        <v>16000</v>
      </c>
      <c r="AK86" s="29">
        <v>0</v>
      </c>
      <c r="AL86" s="29">
        <v>0</v>
      </c>
      <c r="AM86" s="29">
        <f t="shared" si="379"/>
        <v>16000</v>
      </c>
      <c r="AN86" s="29">
        <f t="shared" si="379"/>
        <v>16000</v>
      </c>
      <c r="AO86" s="29">
        <v>0</v>
      </c>
      <c r="AP86" s="29">
        <v>0</v>
      </c>
      <c r="AQ86" s="29">
        <f t="shared" si="380"/>
        <v>16000</v>
      </c>
      <c r="AR86" s="29">
        <f t="shared" si="380"/>
        <v>16000</v>
      </c>
      <c r="AS86" s="29">
        <v>0</v>
      </c>
      <c r="AT86" s="29">
        <v>0</v>
      </c>
      <c r="AU86" s="29">
        <f t="shared" si="382"/>
        <v>16000</v>
      </c>
      <c r="AV86" s="29">
        <f t="shared" si="382"/>
        <v>16000</v>
      </c>
      <c r="AW86" s="29">
        <v>4000</v>
      </c>
      <c r="AX86" s="29">
        <v>4000</v>
      </c>
      <c r="AY86" s="29">
        <v>0</v>
      </c>
      <c r="AZ86" s="29">
        <v>0</v>
      </c>
      <c r="BA86" s="55">
        <f t="shared" si="350"/>
        <v>1</v>
      </c>
      <c r="BB86" s="55">
        <f t="shared" si="350"/>
        <v>1</v>
      </c>
      <c r="BC86" s="29">
        <v>0</v>
      </c>
      <c r="BD86" s="29">
        <v>0</v>
      </c>
      <c r="BE86" s="29">
        <v>0</v>
      </c>
      <c r="BF86" s="29">
        <v>0</v>
      </c>
      <c r="BG86" s="29">
        <f t="shared" si="384"/>
        <v>0</v>
      </c>
      <c r="BH86" s="29">
        <f t="shared" si="384"/>
        <v>0</v>
      </c>
      <c r="BI86" s="55">
        <f t="shared" si="352"/>
        <v>1</v>
      </c>
      <c r="BJ86" s="55">
        <f t="shared" si="352"/>
        <v>1</v>
      </c>
      <c r="BK86" s="29">
        <v>0</v>
      </c>
      <c r="BL86" s="29">
        <v>0</v>
      </c>
      <c r="BM86" s="29">
        <f t="shared" si="385"/>
        <v>0</v>
      </c>
      <c r="BN86" s="29">
        <f t="shared" si="385"/>
        <v>0</v>
      </c>
      <c r="BO86" s="55">
        <f t="shared" si="354"/>
        <v>1</v>
      </c>
      <c r="BP86" s="55">
        <f t="shared" si="354"/>
        <v>1</v>
      </c>
      <c r="BQ86" s="29">
        <v>0</v>
      </c>
      <c r="BR86" s="29">
        <v>0</v>
      </c>
      <c r="BS86" s="29">
        <f t="shared" si="386"/>
        <v>0</v>
      </c>
      <c r="BT86" s="29">
        <f t="shared" si="386"/>
        <v>0</v>
      </c>
      <c r="BU86" s="55">
        <f t="shared" si="356"/>
        <v>1</v>
      </c>
      <c r="BV86" s="55">
        <f t="shared" si="356"/>
        <v>1</v>
      </c>
      <c r="BW86" s="29">
        <v>0</v>
      </c>
      <c r="BX86" s="29">
        <v>0</v>
      </c>
      <c r="BY86" s="29">
        <f t="shared" si="387"/>
        <v>0</v>
      </c>
      <c r="BZ86" s="29">
        <f t="shared" si="387"/>
        <v>0</v>
      </c>
      <c r="CA86" s="55">
        <f t="shared" si="358"/>
        <v>1</v>
      </c>
      <c r="CB86" s="55">
        <f t="shared" si="358"/>
        <v>1</v>
      </c>
      <c r="CC86" s="29">
        <v>0</v>
      </c>
      <c r="CD86" s="29">
        <v>0</v>
      </c>
      <c r="CE86" s="29">
        <f t="shared" si="388"/>
        <v>0</v>
      </c>
      <c r="CF86" s="29">
        <f t="shared" si="388"/>
        <v>0</v>
      </c>
      <c r="CG86" s="55">
        <f t="shared" si="360"/>
        <v>-1</v>
      </c>
      <c r="CH86" s="55">
        <f t="shared" si="360"/>
        <v>-1</v>
      </c>
      <c r="CI86" s="29">
        <v>0</v>
      </c>
      <c r="CJ86" s="29">
        <v>0</v>
      </c>
      <c r="CK86" s="29">
        <f t="shared" si="389"/>
        <v>0</v>
      </c>
      <c r="CL86" s="29">
        <f t="shared" si="389"/>
        <v>0</v>
      </c>
      <c r="CM86" s="55">
        <f t="shared" si="362"/>
        <v>-1</v>
      </c>
      <c r="CN86" s="55">
        <f t="shared" si="362"/>
        <v>-1</v>
      </c>
      <c r="CO86" s="29">
        <v>0</v>
      </c>
      <c r="CP86" s="29">
        <v>0</v>
      </c>
      <c r="CQ86" s="29">
        <f t="shared" si="390"/>
        <v>0</v>
      </c>
      <c r="CR86" s="29">
        <f t="shared" si="390"/>
        <v>0</v>
      </c>
      <c r="CS86" s="55">
        <f t="shared" si="364"/>
        <v>-1</v>
      </c>
      <c r="CT86" s="55">
        <f t="shared" si="364"/>
        <v>-1</v>
      </c>
      <c r="CU86" s="29">
        <v>0</v>
      </c>
      <c r="CV86" s="29">
        <v>0</v>
      </c>
      <c r="CW86" s="29">
        <f t="shared" si="391"/>
        <v>0</v>
      </c>
      <c r="CX86" s="29">
        <f t="shared" si="391"/>
        <v>0</v>
      </c>
      <c r="CY86" s="55">
        <f t="shared" si="366"/>
        <v>-1</v>
      </c>
      <c r="CZ86" s="55">
        <f t="shared" si="366"/>
        <v>-1</v>
      </c>
      <c r="DA86" s="29">
        <v>0</v>
      </c>
      <c r="DB86" s="29">
        <v>0</v>
      </c>
      <c r="DC86" s="29">
        <f t="shared" si="392"/>
        <v>0</v>
      </c>
      <c r="DD86" s="29">
        <f t="shared" si="392"/>
        <v>0</v>
      </c>
      <c r="DE86" s="55">
        <f t="shared" si="368"/>
        <v>-1</v>
      </c>
      <c r="DF86" s="55">
        <f t="shared" si="368"/>
        <v>-1</v>
      </c>
      <c r="DG86" s="29">
        <v>0</v>
      </c>
      <c r="DH86" s="29">
        <v>0</v>
      </c>
      <c r="DI86" s="29">
        <f t="shared" si="393"/>
        <v>0</v>
      </c>
      <c r="DJ86" s="29">
        <f t="shared" si="393"/>
        <v>0</v>
      </c>
      <c r="DK86" s="55">
        <f t="shared" si="370"/>
        <v>-1</v>
      </c>
      <c r="DL86" s="55">
        <f t="shared" si="370"/>
        <v>-1</v>
      </c>
      <c r="DM86" s="29"/>
      <c r="DN86" s="29"/>
      <c r="DO86" s="29"/>
      <c r="DP86" s="29"/>
      <c r="DQ86" s="29">
        <v>0</v>
      </c>
      <c r="DR86" s="29">
        <v>0</v>
      </c>
      <c r="DS86" s="55">
        <f>IF($AY$86=0,1,DQ86/$AY$86-1)</f>
        <v>1</v>
      </c>
      <c r="DT86" s="55">
        <f>IF($AZ$86=0,1,DR86/$AZ$86-1)</f>
        <v>1</v>
      </c>
      <c r="DU86" s="55">
        <f>IF($E$86=0,1,DQ86/$E$86-1)</f>
        <v>1</v>
      </c>
      <c r="DV86" s="55">
        <f>IF($E$86=0,1,DR86/$E$86-1)</f>
        <v>1</v>
      </c>
      <c r="DW86" s="2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</row>
    <row r="87" spans="1:268" s="104" customFormat="1" ht="18" customHeight="1">
      <c r="A87" s="317" t="s">
        <v>68</v>
      </c>
      <c r="B87" s="318"/>
      <c r="C87" s="29">
        <f>C89+C90+C91+C92+C93+C94+C95+C96</f>
        <v>0</v>
      </c>
      <c r="D87" s="29">
        <f t="shared" ref="D87:AZ87" si="395">D89+D90+D91+D92+D93+D94+D95+D96</f>
        <v>0</v>
      </c>
      <c r="E87" s="29">
        <f t="shared" si="395"/>
        <v>45797.499999999993</v>
      </c>
      <c r="F87" s="29">
        <f t="shared" si="395"/>
        <v>22103.5</v>
      </c>
      <c r="G87" s="29">
        <f t="shared" si="395"/>
        <v>1089.8000000000002</v>
      </c>
      <c r="H87" s="29">
        <f t="shared" si="395"/>
        <v>0</v>
      </c>
      <c r="I87" s="29">
        <f t="shared" si="395"/>
        <v>1687</v>
      </c>
      <c r="J87" s="29">
        <f t="shared" si="395"/>
        <v>153.19999999999999</v>
      </c>
      <c r="K87" s="29">
        <f t="shared" si="372"/>
        <v>2776.8</v>
      </c>
      <c r="L87" s="29">
        <f t="shared" si="372"/>
        <v>153.19999999999999</v>
      </c>
      <c r="M87" s="29">
        <f t="shared" si="395"/>
        <v>2144.6999999999998</v>
      </c>
      <c r="N87" s="29">
        <f t="shared" si="395"/>
        <v>468</v>
      </c>
      <c r="O87" s="29">
        <f t="shared" si="395"/>
        <v>2776.8</v>
      </c>
      <c r="P87" s="29">
        <f t="shared" si="395"/>
        <v>153.19999999999999</v>
      </c>
      <c r="Q87" s="29">
        <f t="shared" si="395"/>
        <v>276.89999999999998</v>
      </c>
      <c r="R87" s="29">
        <f t="shared" si="395"/>
        <v>70.400000000000006</v>
      </c>
      <c r="S87" s="29">
        <f t="shared" si="374"/>
        <v>3053.7000000000003</v>
      </c>
      <c r="T87" s="29">
        <f t="shared" si="374"/>
        <v>223.6</v>
      </c>
      <c r="U87" s="29">
        <f t="shared" si="395"/>
        <v>556.4</v>
      </c>
      <c r="V87" s="29">
        <f t="shared" si="395"/>
        <v>130.69999999999999</v>
      </c>
      <c r="W87" s="29">
        <f t="shared" si="375"/>
        <v>3610.1000000000004</v>
      </c>
      <c r="X87" s="29">
        <f t="shared" si="375"/>
        <v>354.29999999999995</v>
      </c>
      <c r="Y87" s="29">
        <f t="shared" si="395"/>
        <v>21358.7</v>
      </c>
      <c r="Z87" s="29">
        <f t="shared" si="395"/>
        <v>16168.2</v>
      </c>
      <c r="AA87" s="29">
        <f t="shared" si="376"/>
        <v>24968.800000000003</v>
      </c>
      <c r="AB87" s="29">
        <f t="shared" si="376"/>
        <v>16522.5</v>
      </c>
      <c r="AC87" s="29">
        <f t="shared" si="395"/>
        <v>3981.8999999999996</v>
      </c>
      <c r="AD87" s="29">
        <f t="shared" si="395"/>
        <v>0</v>
      </c>
      <c r="AE87" s="29">
        <f t="shared" si="377"/>
        <v>28950.700000000004</v>
      </c>
      <c r="AF87" s="29">
        <f t="shared" si="377"/>
        <v>16522.5</v>
      </c>
      <c r="AG87" s="29">
        <f t="shared" si="395"/>
        <v>2865.1</v>
      </c>
      <c r="AH87" s="29">
        <f t="shared" si="395"/>
        <v>536.4</v>
      </c>
      <c r="AI87" s="29">
        <f t="shared" si="378"/>
        <v>31815.800000000003</v>
      </c>
      <c r="AJ87" s="29">
        <f t="shared" si="378"/>
        <v>17058.900000000001</v>
      </c>
      <c r="AK87" s="29">
        <f t="shared" si="395"/>
        <v>1341.6999999999998</v>
      </c>
      <c r="AL87" s="29">
        <f t="shared" si="395"/>
        <v>150.30000000000001</v>
      </c>
      <c r="AM87" s="29">
        <f t="shared" si="379"/>
        <v>33157.5</v>
      </c>
      <c r="AN87" s="29">
        <f t="shared" si="379"/>
        <v>17209.2</v>
      </c>
      <c r="AO87" s="29">
        <f t="shared" si="395"/>
        <v>1396.8</v>
      </c>
      <c r="AP87" s="29">
        <f t="shared" si="395"/>
        <v>166.7</v>
      </c>
      <c r="AQ87" s="29">
        <f t="shared" si="380"/>
        <v>34554.300000000003</v>
      </c>
      <c r="AR87" s="29">
        <f t="shared" si="380"/>
        <v>17375.900000000001</v>
      </c>
      <c r="AS87" s="29">
        <f t="shared" si="395"/>
        <v>2625.7</v>
      </c>
      <c r="AT87" s="29">
        <f t="shared" si="395"/>
        <v>0</v>
      </c>
      <c r="AU87" s="29">
        <f t="shared" si="382"/>
        <v>37180</v>
      </c>
      <c r="AV87" s="29">
        <f t="shared" si="382"/>
        <v>17375.900000000001</v>
      </c>
      <c r="AW87" s="29">
        <f t="shared" si="395"/>
        <v>6472.7999999999993</v>
      </c>
      <c r="AX87" s="29">
        <f t="shared" si="395"/>
        <v>4259.6000000000004</v>
      </c>
      <c r="AY87" s="29">
        <f t="shared" si="395"/>
        <v>0</v>
      </c>
      <c r="AZ87" s="29">
        <f t="shared" si="395"/>
        <v>2284.5</v>
      </c>
      <c r="BA87" s="55">
        <f t="shared" si="350"/>
        <v>-1</v>
      </c>
      <c r="BB87" s="55">
        <f t="shared" si="350"/>
        <v>-0.89664532766303984</v>
      </c>
      <c r="BC87" s="29">
        <f t="shared" ref="BC87:DP87" si="396">BC89+BC90+BC91+BC92+BC93+BC94+BC95+BC96</f>
        <v>0</v>
      </c>
      <c r="BD87" s="29">
        <f t="shared" si="396"/>
        <v>0</v>
      </c>
      <c r="BE87" s="29">
        <f t="shared" si="396"/>
        <v>0</v>
      </c>
      <c r="BF87" s="29">
        <f t="shared" si="396"/>
        <v>316.60000000000002</v>
      </c>
      <c r="BG87" s="29">
        <f t="shared" si="384"/>
        <v>0</v>
      </c>
      <c r="BH87" s="29">
        <f t="shared" si="384"/>
        <v>316.60000000000002</v>
      </c>
      <c r="BI87" s="55">
        <f t="shared" si="352"/>
        <v>-1</v>
      </c>
      <c r="BJ87" s="55">
        <f t="shared" si="352"/>
        <v>1.0665796344647522</v>
      </c>
      <c r="BK87" s="29">
        <f t="shared" si="396"/>
        <v>0</v>
      </c>
      <c r="BL87" s="29">
        <f t="shared" si="396"/>
        <v>368.4</v>
      </c>
      <c r="BM87" s="29">
        <f t="shared" si="385"/>
        <v>0</v>
      </c>
      <c r="BN87" s="29">
        <f t="shared" si="385"/>
        <v>685</v>
      </c>
      <c r="BO87" s="55">
        <f t="shared" si="354"/>
        <v>-1</v>
      </c>
      <c r="BP87" s="55">
        <f t="shared" si="354"/>
        <v>3.4712793733681462</v>
      </c>
      <c r="BQ87" s="29">
        <f t="shared" si="396"/>
        <v>0</v>
      </c>
      <c r="BR87" s="29">
        <f t="shared" si="396"/>
        <v>0</v>
      </c>
      <c r="BS87" s="29">
        <f t="shared" si="386"/>
        <v>0</v>
      </c>
      <c r="BT87" s="29">
        <f t="shared" si="386"/>
        <v>685</v>
      </c>
      <c r="BU87" s="55">
        <f t="shared" si="356"/>
        <v>-1</v>
      </c>
      <c r="BV87" s="55">
        <f t="shared" si="356"/>
        <v>2.06350626118068</v>
      </c>
      <c r="BW87" s="29">
        <f t="shared" si="396"/>
        <v>0</v>
      </c>
      <c r="BX87" s="29">
        <f t="shared" si="396"/>
        <v>0</v>
      </c>
      <c r="BY87" s="29">
        <f t="shared" si="387"/>
        <v>0</v>
      </c>
      <c r="BZ87" s="29">
        <f t="shared" si="387"/>
        <v>685</v>
      </c>
      <c r="CA87" s="55">
        <f t="shared" si="358"/>
        <v>-1</v>
      </c>
      <c r="CB87" s="55">
        <f t="shared" si="358"/>
        <v>0.9333897826700539</v>
      </c>
      <c r="CC87" s="29">
        <f t="shared" si="396"/>
        <v>0</v>
      </c>
      <c r="CD87" s="29">
        <f t="shared" si="396"/>
        <v>0</v>
      </c>
      <c r="CE87" s="29">
        <f t="shared" si="388"/>
        <v>0</v>
      </c>
      <c r="CF87" s="29">
        <f t="shared" si="388"/>
        <v>685</v>
      </c>
      <c r="CG87" s="55">
        <f t="shared" si="360"/>
        <v>-1</v>
      </c>
      <c r="CH87" s="55">
        <f t="shared" si="360"/>
        <v>-0.9585413829626267</v>
      </c>
      <c r="CI87" s="29">
        <f t="shared" si="396"/>
        <v>0</v>
      </c>
      <c r="CJ87" s="29">
        <f t="shared" si="396"/>
        <v>0</v>
      </c>
      <c r="CK87" s="29">
        <f t="shared" si="389"/>
        <v>0</v>
      </c>
      <c r="CL87" s="29">
        <f t="shared" si="389"/>
        <v>685</v>
      </c>
      <c r="CM87" s="55">
        <f t="shared" si="362"/>
        <v>-1</v>
      </c>
      <c r="CN87" s="55">
        <f t="shared" si="362"/>
        <v>-0.9585413829626267</v>
      </c>
      <c r="CO87" s="29">
        <f t="shared" si="396"/>
        <v>0</v>
      </c>
      <c r="CP87" s="29">
        <f t="shared" si="396"/>
        <v>0</v>
      </c>
      <c r="CQ87" s="29">
        <f t="shared" si="390"/>
        <v>0</v>
      </c>
      <c r="CR87" s="29">
        <f t="shared" si="390"/>
        <v>685</v>
      </c>
      <c r="CS87" s="55">
        <f t="shared" si="364"/>
        <v>-1</v>
      </c>
      <c r="CT87" s="55">
        <f t="shared" si="364"/>
        <v>-0.95984500759134528</v>
      </c>
      <c r="CU87" s="29">
        <f t="shared" si="396"/>
        <v>0</v>
      </c>
      <c r="CV87" s="29">
        <f t="shared" si="396"/>
        <v>0</v>
      </c>
      <c r="CW87" s="29">
        <f t="shared" si="391"/>
        <v>0</v>
      </c>
      <c r="CX87" s="29">
        <f t="shared" si="391"/>
        <v>685</v>
      </c>
      <c r="CY87" s="55">
        <f t="shared" si="366"/>
        <v>-1</v>
      </c>
      <c r="CZ87" s="55">
        <f t="shared" si="366"/>
        <v>-0.96019570927178488</v>
      </c>
      <c r="DA87" s="29">
        <f t="shared" si="396"/>
        <v>0</v>
      </c>
      <c r="DB87" s="29">
        <f t="shared" si="396"/>
        <v>0</v>
      </c>
      <c r="DC87" s="29">
        <f t="shared" si="392"/>
        <v>0</v>
      </c>
      <c r="DD87" s="29">
        <f t="shared" si="392"/>
        <v>685</v>
      </c>
      <c r="DE87" s="55">
        <f t="shared" si="368"/>
        <v>-1</v>
      </c>
      <c r="DF87" s="55">
        <f t="shared" si="368"/>
        <v>-0.96057758159289586</v>
      </c>
      <c r="DG87" s="29">
        <f t="shared" si="396"/>
        <v>0</v>
      </c>
      <c r="DH87" s="29">
        <f t="shared" si="396"/>
        <v>0</v>
      </c>
      <c r="DI87" s="29">
        <f t="shared" si="393"/>
        <v>0</v>
      </c>
      <c r="DJ87" s="29">
        <f t="shared" si="393"/>
        <v>685</v>
      </c>
      <c r="DK87" s="55">
        <f t="shared" si="370"/>
        <v>-1</v>
      </c>
      <c r="DL87" s="55">
        <f t="shared" si="370"/>
        <v>-0.96057758159289586</v>
      </c>
      <c r="DM87" s="29">
        <f t="shared" si="396"/>
        <v>0</v>
      </c>
      <c r="DN87" s="29">
        <f t="shared" si="396"/>
        <v>0</v>
      </c>
      <c r="DO87" s="29">
        <f t="shared" si="396"/>
        <v>0</v>
      </c>
      <c r="DP87" s="29">
        <f t="shared" si="396"/>
        <v>0</v>
      </c>
      <c r="DQ87" s="29">
        <f t="shared" ref="DQ87:DR87" si="397">DQ89+DQ90+DQ91+DQ92+DQ93+DQ94+DQ95+DQ96</f>
        <v>0</v>
      </c>
      <c r="DR87" s="29">
        <f t="shared" si="397"/>
        <v>2284.5</v>
      </c>
      <c r="DS87" s="55">
        <f>IF($AY$87=0,1,DQ87/$AY$87-1)</f>
        <v>1</v>
      </c>
      <c r="DT87" s="55">
        <f>IF($AZ$87=0,1,DR87/$AZ$87-1)</f>
        <v>0</v>
      </c>
      <c r="DU87" s="55">
        <f>IF($E$87=0,1,DQ87/$E$87-1)</f>
        <v>-1</v>
      </c>
      <c r="DV87" s="55">
        <f>IF($E$87=0,1,DR87/$E$87-1)</f>
        <v>-0.95011736448496098</v>
      </c>
      <c r="DW87" s="25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</row>
    <row r="88" spans="1:268" s="104" customFormat="1" ht="19.5" customHeight="1">
      <c r="A88" s="230" t="s">
        <v>140</v>
      </c>
      <c r="B88" s="231"/>
      <c r="C88" s="29"/>
      <c r="D88" s="29"/>
      <c r="E88" s="29"/>
      <c r="F88" s="29"/>
      <c r="G88" s="29"/>
      <c r="H88" s="29"/>
      <c r="I88" s="29"/>
      <c r="J88" s="29"/>
      <c r="K88" s="29">
        <f t="shared" si="372"/>
        <v>0</v>
      </c>
      <c r="L88" s="29">
        <f t="shared" si="372"/>
        <v>0</v>
      </c>
      <c r="M88" s="29"/>
      <c r="N88" s="29"/>
      <c r="O88" s="29"/>
      <c r="P88" s="29"/>
      <c r="Q88" s="29"/>
      <c r="R88" s="29"/>
      <c r="S88" s="29">
        <f t="shared" si="374"/>
        <v>0</v>
      </c>
      <c r="T88" s="29">
        <f t="shared" si="374"/>
        <v>0</v>
      </c>
      <c r="U88" s="29"/>
      <c r="V88" s="29"/>
      <c r="W88" s="29">
        <f t="shared" si="375"/>
        <v>0</v>
      </c>
      <c r="X88" s="29">
        <f t="shared" si="375"/>
        <v>0</v>
      </c>
      <c r="Y88" s="29"/>
      <c r="Z88" s="29"/>
      <c r="AA88" s="29">
        <f t="shared" si="376"/>
        <v>0</v>
      </c>
      <c r="AB88" s="29">
        <f t="shared" si="376"/>
        <v>0</v>
      </c>
      <c r="AC88" s="29"/>
      <c r="AD88" s="29"/>
      <c r="AE88" s="29">
        <f t="shared" si="377"/>
        <v>0</v>
      </c>
      <c r="AF88" s="29">
        <f t="shared" si="377"/>
        <v>0</v>
      </c>
      <c r="AG88" s="29"/>
      <c r="AH88" s="29"/>
      <c r="AI88" s="29">
        <f t="shared" si="378"/>
        <v>0</v>
      </c>
      <c r="AJ88" s="29">
        <f t="shared" si="378"/>
        <v>0</v>
      </c>
      <c r="AK88" s="29"/>
      <c r="AL88" s="29"/>
      <c r="AM88" s="29">
        <f t="shared" si="379"/>
        <v>0</v>
      </c>
      <c r="AN88" s="29">
        <f t="shared" si="379"/>
        <v>0</v>
      </c>
      <c r="AO88" s="29"/>
      <c r="AP88" s="29"/>
      <c r="AQ88" s="29">
        <f t="shared" si="380"/>
        <v>0</v>
      </c>
      <c r="AR88" s="29">
        <f t="shared" si="380"/>
        <v>0</v>
      </c>
      <c r="AS88" s="29"/>
      <c r="AT88" s="29"/>
      <c r="AU88" s="29">
        <f t="shared" si="382"/>
        <v>0</v>
      </c>
      <c r="AV88" s="29">
        <f t="shared" si="382"/>
        <v>0</v>
      </c>
      <c r="AW88" s="29"/>
      <c r="AX88" s="29"/>
      <c r="AY88" s="29"/>
      <c r="AZ88" s="29"/>
      <c r="BA88" s="55">
        <f t="shared" si="350"/>
        <v>1</v>
      </c>
      <c r="BB88" s="55">
        <f t="shared" si="350"/>
        <v>1</v>
      </c>
      <c r="BC88" s="29"/>
      <c r="BD88" s="29"/>
      <c r="BE88" s="29"/>
      <c r="BF88" s="29"/>
      <c r="BG88" s="29">
        <f t="shared" si="384"/>
        <v>0</v>
      </c>
      <c r="BH88" s="29">
        <f t="shared" si="384"/>
        <v>0</v>
      </c>
      <c r="BI88" s="55">
        <f t="shared" si="352"/>
        <v>1</v>
      </c>
      <c r="BJ88" s="55">
        <f t="shared" si="352"/>
        <v>1</v>
      </c>
      <c r="BK88" s="29"/>
      <c r="BL88" s="29"/>
      <c r="BM88" s="29">
        <f t="shared" si="385"/>
        <v>0</v>
      </c>
      <c r="BN88" s="29">
        <f t="shared" si="385"/>
        <v>0</v>
      </c>
      <c r="BO88" s="55">
        <f t="shared" si="354"/>
        <v>1</v>
      </c>
      <c r="BP88" s="55">
        <f t="shared" si="354"/>
        <v>1</v>
      </c>
      <c r="BQ88" s="29"/>
      <c r="BR88" s="29"/>
      <c r="BS88" s="29">
        <f t="shared" si="386"/>
        <v>0</v>
      </c>
      <c r="BT88" s="29">
        <f t="shared" si="386"/>
        <v>0</v>
      </c>
      <c r="BU88" s="55">
        <f t="shared" si="356"/>
        <v>1</v>
      </c>
      <c r="BV88" s="55">
        <f t="shared" si="356"/>
        <v>1</v>
      </c>
      <c r="BW88" s="29"/>
      <c r="BX88" s="29"/>
      <c r="BY88" s="29">
        <f t="shared" si="387"/>
        <v>0</v>
      </c>
      <c r="BZ88" s="29">
        <f t="shared" si="387"/>
        <v>0</v>
      </c>
      <c r="CA88" s="55">
        <f t="shared" si="358"/>
        <v>1</v>
      </c>
      <c r="CB88" s="55">
        <f t="shared" si="358"/>
        <v>1</v>
      </c>
      <c r="CC88" s="29"/>
      <c r="CD88" s="29"/>
      <c r="CE88" s="29">
        <f t="shared" si="388"/>
        <v>0</v>
      </c>
      <c r="CF88" s="29">
        <f t="shared" si="388"/>
        <v>0</v>
      </c>
      <c r="CG88" s="55">
        <f t="shared" si="360"/>
        <v>1</v>
      </c>
      <c r="CH88" s="55">
        <f t="shared" si="360"/>
        <v>1</v>
      </c>
      <c r="CI88" s="29"/>
      <c r="CJ88" s="29"/>
      <c r="CK88" s="29">
        <f t="shared" si="389"/>
        <v>0</v>
      </c>
      <c r="CL88" s="29">
        <f t="shared" si="389"/>
        <v>0</v>
      </c>
      <c r="CM88" s="55">
        <f t="shared" si="362"/>
        <v>1</v>
      </c>
      <c r="CN88" s="55">
        <f t="shared" si="362"/>
        <v>1</v>
      </c>
      <c r="CO88" s="29"/>
      <c r="CP88" s="29"/>
      <c r="CQ88" s="29">
        <f t="shared" si="390"/>
        <v>0</v>
      </c>
      <c r="CR88" s="29">
        <f t="shared" si="390"/>
        <v>0</v>
      </c>
      <c r="CS88" s="55">
        <f t="shared" si="364"/>
        <v>1</v>
      </c>
      <c r="CT88" s="55">
        <f t="shared" si="364"/>
        <v>1</v>
      </c>
      <c r="CU88" s="29"/>
      <c r="CV88" s="29"/>
      <c r="CW88" s="29">
        <f t="shared" si="391"/>
        <v>0</v>
      </c>
      <c r="CX88" s="29">
        <f t="shared" si="391"/>
        <v>0</v>
      </c>
      <c r="CY88" s="55">
        <f t="shared" si="366"/>
        <v>1</v>
      </c>
      <c r="CZ88" s="55">
        <f t="shared" si="366"/>
        <v>1</v>
      </c>
      <c r="DA88" s="29"/>
      <c r="DB88" s="29"/>
      <c r="DC88" s="29">
        <f t="shared" si="392"/>
        <v>0</v>
      </c>
      <c r="DD88" s="29">
        <f t="shared" si="392"/>
        <v>0</v>
      </c>
      <c r="DE88" s="55">
        <f t="shared" si="368"/>
        <v>1</v>
      </c>
      <c r="DF88" s="55">
        <f t="shared" si="368"/>
        <v>1</v>
      </c>
      <c r="DG88" s="29"/>
      <c r="DH88" s="29"/>
      <c r="DI88" s="29">
        <f t="shared" si="393"/>
        <v>0</v>
      </c>
      <c r="DJ88" s="29">
        <f t="shared" si="393"/>
        <v>0</v>
      </c>
      <c r="DK88" s="55">
        <f t="shared" si="370"/>
        <v>1</v>
      </c>
      <c r="DL88" s="55">
        <f t="shared" si="370"/>
        <v>1</v>
      </c>
      <c r="DM88" s="29"/>
      <c r="DN88" s="29"/>
      <c r="DO88" s="29"/>
      <c r="DP88" s="29"/>
      <c r="DQ88" s="29"/>
      <c r="DR88" s="29"/>
      <c r="DS88" s="55">
        <f>IF($AY$88=0,1,DQ88/$AY$88-1)</f>
        <v>1</v>
      </c>
      <c r="DT88" s="55">
        <f>IF($AZ$88=0,1,DR88/$AZ$88-1)</f>
        <v>1</v>
      </c>
      <c r="DU88" s="55">
        <f>IF($E$88=0,1,DQ88/$E$88-1)</f>
        <v>1</v>
      </c>
      <c r="DV88" s="55">
        <f>IF($E$88=0,1,DR88/$E$88-1)</f>
        <v>1</v>
      </c>
      <c r="DW88" s="25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</row>
    <row r="89" spans="1:268" s="104" customFormat="1" ht="19.5" customHeight="1">
      <c r="A89" s="230">
        <v>243</v>
      </c>
      <c r="B89" s="231"/>
      <c r="C89" s="29"/>
      <c r="D89" s="29"/>
      <c r="E89" s="29">
        <f t="shared" ref="E89:F96" si="398">G89+I89+M89+Q89+U89+Y89+AC89+AG89+AK89+AO89+AS89+AW89</f>
        <v>88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f t="shared" si="372"/>
        <v>0</v>
      </c>
      <c r="L89" s="29">
        <f t="shared" si="372"/>
        <v>0</v>
      </c>
      <c r="M89" s="29">
        <v>0</v>
      </c>
      <c r="N89" s="29">
        <v>0</v>
      </c>
      <c r="O89" s="29">
        <f t="shared" ref="O89:P96" si="399">I89+G89</f>
        <v>0</v>
      </c>
      <c r="P89" s="29">
        <f t="shared" si="399"/>
        <v>0</v>
      </c>
      <c r="Q89" s="29">
        <v>0</v>
      </c>
      <c r="R89" s="29">
        <v>0</v>
      </c>
      <c r="S89" s="29">
        <f t="shared" si="374"/>
        <v>0</v>
      </c>
      <c r="T89" s="29">
        <f t="shared" si="374"/>
        <v>0</v>
      </c>
      <c r="U89" s="29">
        <v>0</v>
      </c>
      <c r="V89" s="29">
        <v>0</v>
      </c>
      <c r="W89" s="29">
        <f t="shared" si="375"/>
        <v>0</v>
      </c>
      <c r="X89" s="29">
        <f t="shared" si="375"/>
        <v>0</v>
      </c>
      <c r="Y89" s="29">
        <v>21.8</v>
      </c>
      <c r="Z89" s="29">
        <v>0</v>
      </c>
      <c r="AA89" s="29">
        <f t="shared" si="376"/>
        <v>21.8</v>
      </c>
      <c r="AB89" s="29">
        <f t="shared" si="376"/>
        <v>0</v>
      </c>
      <c r="AC89" s="29">
        <v>41.2</v>
      </c>
      <c r="AD89" s="29">
        <v>0</v>
      </c>
      <c r="AE89" s="29">
        <f t="shared" si="377"/>
        <v>63</v>
      </c>
      <c r="AF89" s="29">
        <f t="shared" si="377"/>
        <v>0</v>
      </c>
      <c r="AG89" s="29">
        <v>0</v>
      </c>
      <c r="AH89" s="29">
        <v>0</v>
      </c>
      <c r="AI89" s="29">
        <f t="shared" si="378"/>
        <v>63</v>
      </c>
      <c r="AJ89" s="29">
        <f t="shared" si="378"/>
        <v>0</v>
      </c>
      <c r="AK89" s="29">
        <v>0</v>
      </c>
      <c r="AL89" s="29">
        <v>0</v>
      </c>
      <c r="AM89" s="29">
        <f t="shared" si="379"/>
        <v>63</v>
      </c>
      <c r="AN89" s="29">
        <f t="shared" si="379"/>
        <v>0</v>
      </c>
      <c r="AO89" s="29">
        <v>0</v>
      </c>
      <c r="AP89" s="29">
        <v>0</v>
      </c>
      <c r="AQ89" s="29">
        <f t="shared" si="380"/>
        <v>63</v>
      </c>
      <c r="AR89" s="29">
        <f t="shared" si="380"/>
        <v>0</v>
      </c>
      <c r="AS89" s="29">
        <v>20</v>
      </c>
      <c r="AT89" s="29">
        <v>0</v>
      </c>
      <c r="AU89" s="29">
        <f t="shared" si="382"/>
        <v>83</v>
      </c>
      <c r="AV89" s="29">
        <f t="shared" si="382"/>
        <v>0</v>
      </c>
      <c r="AW89" s="29">
        <v>5</v>
      </c>
      <c r="AX89" s="29">
        <v>0</v>
      </c>
      <c r="AY89" s="29">
        <v>0</v>
      </c>
      <c r="AZ89" s="29">
        <v>0</v>
      </c>
      <c r="BA89" s="55">
        <f t="shared" si="350"/>
        <v>-1</v>
      </c>
      <c r="BB89" s="55">
        <f t="shared" si="350"/>
        <v>1</v>
      </c>
      <c r="BC89" s="29">
        <v>0</v>
      </c>
      <c r="BD89" s="29">
        <v>0</v>
      </c>
      <c r="BE89" s="29">
        <v>0</v>
      </c>
      <c r="BF89" s="29">
        <v>0</v>
      </c>
      <c r="BG89" s="29">
        <f t="shared" si="384"/>
        <v>0</v>
      </c>
      <c r="BH89" s="29">
        <f t="shared" si="384"/>
        <v>0</v>
      </c>
      <c r="BI89" s="55">
        <f t="shared" si="352"/>
        <v>1</v>
      </c>
      <c r="BJ89" s="55">
        <f t="shared" si="352"/>
        <v>1</v>
      </c>
      <c r="BK89" s="29">
        <v>0</v>
      </c>
      <c r="BL89" s="29">
        <v>0</v>
      </c>
      <c r="BM89" s="29">
        <f t="shared" si="385"/>
        <v>0</v>
      </c>
      <c r="BN89" s="29">
        <f t="shared" si="385"/>
        <v>0</v>
      </c>
      <c r="BO89" s="55">
        <f t="shared" si="354"/>
        <v>1</v>
      </c>
      <c r="BP89" s="55">
        <f t="shared" si="354"/>
        <v>1</v>
      </c>
      <c r="BQ89" s="29"/>
      <c r="BR89" s="29"/>
      <c r="BS89" s="29">
        <f t="shared" si="386"/>
        <v>0</v>
      </c>
      <c r="BT89" s="29">
        <f t="shared" si="386"/>
        <v>0</v>
      </c>
      <c r="BU89" s="55">
        <f t="shared" si="356"/>
        <v>1</v>
      </c>
      <c r="BV89" s="55">
        <f t="shared" si="356"/>
        <v>1</v>
      </c>
      <c r="BW89" s="29"/>
      <c r="BX89" s="29"/>
      <c r="BY89" s="29">
        <f t="shared" si="387"/>
        <v>0</v>
      </c>
      <c r="BZ89" s="29">
        <f t="shared" si="387"/>
        <v>0</v>
      </c>
      <c r="CA89" s="55">
        <f t="shared" si="358"/>
        <v>1</v>
      </c>
      <c r="CB89" s="55">
        <f t="shared" si="358"/>
        <v>1</v>
      </c>
      <c r="CC89" s="29"/>
      <c r="CD89" s="29"/>
      <c r="CE89" s="29">
        <f t="shared" si="388"/>
        <v>0</v>
      </c>
      <c r="CF89" s="29">
        <f t="shared" si="388"/>
        <v>0</v>
      </c>
      <c r="CG89" s="55">
        <f t="shared" si="360"/>
        <v>-1</v>
      </c>
      <c r="CH89" s="55">
        <f t="shared" si="360"/>
        <v>1</v>
      </c>
      <c r="CI89" s="29"/>
      <c r="CJ89" s="29"/>
      <c r="CK89" s="29">
        <f t="shared" si="389"/>
        <v>0</v>
      </c>
      <c r="CL89" s="29">
        <f t="shared" si="389"/>
        <v>0</v>
      </c>
      <c r="CM89" s="55">
        <f t="shared" si="362"/>
        <v>-1</v>
      </c>
      <c r="CN89" s="55">
        <f t="shared" si="362"/>
        <v>1</v>
      </c>
      <c r="CO89" s="29"/>
      <c r="CP89" s="29"/>
      <c r="CQ89" s="29">
        <f t="shared" si="390"/>
        <v>0</v>
      </c>
      <c r="CR89" s="29">
        <f t="shared" si="390"/>
        <v>0</v>
      </c>
      <c r="CS89" s="55">
        <f t="shared" si="364"/>
        <v>-1</v>
      </c>
      <c r="CT89" s="55">
        <f t="shared" si="364"/>
        <v>1</v>
      </c>
      <c r="CU89" s="29"/>
      <c r="CV89" s="29"/>
      <c r="CW89" s="29">
        <f t="shared" si="391"/>
        <v>0</v>
      </c>
      <c r="CX89" s="29">
        <f t="shared" si="391"/>
        <v>0</v>
      </c>
      <c r="CY89" s="55">
        <f t="shared" si="366"/>
        <v>-1</v>
      </c>
      <c r="CZ89" s="55">
        <f t="shared" si="366"/>
        <v>1</v>
      </c>
      <c r="DA89" s="29"/>
      <c r="DB89" s="29"/>
      <c r="DC89" s="29">
        <f t="shared" si="392"/>
        <v>0</v>
      </c>
      <c r="DD89" s="29">
        <f t="shared" si="392"/>
        <v>0</v>
      </c>
      <c r="DE89" s="55">
        <f t="shared" si="368"/>
        <v>-1</v>
      </c>
      <c r="DF89" s="55">
        <f t="shared" si="368"/>
        <v>1</v>
      </c>
      <c r="DG89" s="29"/>
      <c r="DH89" s="29"/>
      <c r="DI89" s="29">
        <f t="shared" si="393"/>
        <v>0</v>
      </c>
      <c r="DJ89" s="29">
        <f t="shared" si="393"/>
        <v>0</v>
      </c>
      <c r="DK89" s="55">
        <f t="shared" si="370"/>
        <v>-1</v>
      </c>
      <c r="DL89" s="55">
        <f t="shared" si="370"/>
        <v>1</v>
      </c>
      <c r="DM89" s="29"/>
      <c r="DN89" s="29"/>
      <c r="DO89" s="29"/>
      <c r="DP89" s="29"/>
      <c r="DQ89" s="29">
        <v>0</v>
      </c>
      <c r="DR89" s="29">
        <v>0</v>
      </c>
      <c r="DS89" s="55">
        <f>IF($AY$89=0,1,DQ89/$AY$89-1)</f>
        <v>1</v>
      </c>
      <c r="DT89" s="55">
        <f>IF($AZ$89=0,1,DR89/$AZ$89-1)</f>
        <v>1</v>
      </c>
      <c r="DU89" s="55">
        <f>IF($E$89=0,1,DQ89/$E$89-1)</f>
        <v>-1</v>
      </c>
      <c r="DV89" s="55">
        <f>IF($E$89=0,1,DR89/$E$89-1)</f>
        <v>-1</v>
      </c>
      <c r="DW89" s="25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230">
        <v>244</v>
      </c>
      <c r="B90" s="231"/>
      <c r="C90" s="29"/>
      <c r="D90" s="29"/>
      <c r="E90" s="29">
        <f t="shared" si="398"/>
        <v>40469.599999999999</v>
      </c>
      <c r="F90" s="29">
        <f t="shared" si="398"/>
        <v>2103.5</v>
      </c>
      <c r="G90" s="29">
        <v>372.1</v>
      </c>
      <c r="H90" s="29">
        <v>0</v>
      </c>
      <c r="I90" s="29">
        <f>673+J90</f>
        <v>826.2</v>
      </c>
      <c r="J90" s="29">
        <v>153.19999999999999</v>
      </c>
      <c r="K90" s="29">
        <f t="shared" si="372"/>
        <v>1198.3000000000002</v>
      </c>
      <c r="L90" s="29">
        <f t="shared" si="372"/>
        <v>153.19999999999999</v>
      </c>
      <c r="M90" s="29">
        <f>1597.1+N90</f>
        <v>2065.1</v>
      </c>
      <c r="N90" s="29">
        <v>468</v>
      </c>
      <c r="O90" s="29">
        <f t="shared" si="399"/>
        <v>1198.3000000000002</v>
      </c>
      <c r="P90" s="29">
        <f t="shared" si="399"/>
        <v>153.19999999999999</v>
      </c>
      <c r="Q90" s="29">
        <f>157.3+R90</f>
        <v>227.70000000000002</v>
      </c>
      <c r="R90" s="29">
        <v>70.400000000000006</v>
      </c>
      <c r="S90" s="29">
        <f t="shared" si="374"/>
        <v>1426.0000000000002</v>
      </c>
      <c r="T90" s="29">
        <f t="shared" si="374"/>
        <v>223.6</v>
      </c>
      <c r="U90" s="29">
        <f>415.2+V90</f>
        <v>545.9</v>
      </c>
      <c r="V90" s="29">
        <v>130.69999999999999</v>
      </c>
      <c r="W90" s="29">
        <f t="shared" si="375"/>
        <v>1971.9</v>
      </c>
      <c r="X90" s="29">
        <f t="shared" si="375"/>
        <v>354.29999999999995</v>
      </c>
      <c r="Y90" s="29">
        <f>21054.7+Z90</f>
        <v>21222.9</v>
      </c>
      <c r="Z90" s="29">
        <v>168.2</v>
      </c>
      <c r="AA90" s="29">
        <f t="shared" si="376"/>
        <v>23194.800000000003</v>
      </c>
      <c r="AB90" s="29">
        <f t="shared" si="376"/>
        <v>522.5</v>
      </c>
      <c r="AC90" s="29">
        <f>3861.7+AD90</f>
        <v>3861.7</v>
      </c>
      <c r="AD90" s="29">
        <v>0</v>
      </c>
      <c r="AE90" s="29">
        <f t="shared" si="377"/>
        <v>27056.500000000004</v>
      </c>
      <c r="AF90" s="29">
        <f t="shared" si="377"/>
        <v>522.5</v>
      </c>
      <c r="AG90" s="29">
        <f>2289.7+AH90</f>
        <v>2826.1</v>
      </c>
      <c r="AH90" s="29">
        <v>536.4</v>
      </c>
      <c r="AI90" s="29">
        <f t="shared" si="378"/>
        <v>29882.600000000002</v>
      </c>
      <c r="AJ90" s="29">
        <f t="shared" si="378"/>
        <v>1058.9000000000001</v>
      </c>
      <c r="AK90" s="29">
        <f>1169.8+AL90</f>
        <v>1320.1</v>
      </c>
      <c r="AL90" s="29">
        <v>150.30000000000001</v>
      </c>
      <c r="AM90" s="29">
        <f t="shared" si="379"/>
        <v>31202.7</v>
      </c>
      <c r="AN90" s="29">
        <f t="shared" si="379"/>
        <v>1209.2</v>
      </c>
      <c r="AO90" s="29">
        <f>1109.9+AP90</f>
        <v>1276.6000000000001</v>
      </c>
      <c r="AP90" s="29">
        <v>166.7</v>
      </c>
      <c r="AQ90" s="29">
        <f t="shared" si="380"/>
        <v>32479.3</v>
      </c>
      <c r="AR90" s="29">
        <f t="shared" si="380"/>
        <v>1375.9</v>
      </c>
      <c r="AS90" s="29">
        <v>165</v>
      </c>
      <c r="AT90" s="29">
        <v>0</v>
      </c>
      <c r="AU90" s="29">
        <f t="shared" si="382"/>
        <v>32644.3</v>
      </c>
      <c r="AV90" s="29">
        <f t="shared" si="382"/>
        <v>1375.9</v>
      </c>
      <c r="AW90" s="29">
        <v>5760.2</v>
      </c>
      <c r="AX90" s="29">
        <v>259.60000000000002</v>
      </c>
      <c r="AY90" s="29">
        <v>0</v>
      </c>
      <c r="AZ90" s="29">
        <v>2269.5</v>
      </c>
      <c r="BA90" s="55">
        <f t="shared" si="350"/>
        <v>-1</v>
      </c>
      <c r="BB90" s="55">
        <f t="shared" si="350"/>
        <v>7.8916092227240275E-2</v>
      </c>
      <c r="BC90" s="29"/>
      <c r="BD90" s="29">
        <v>0</v>
      </c>
      <c r="BE90" s="29"/>
      <c r="BF90" s="29">
        <v>313.60000000000002</v>
      </c>
      <c r="BG90" s="29">
        <f t="shared" si="384"/>
        <v>0</v>
      </c>
      <c r="BH90" s="29">
        <f t="shared" si="384"/>
        <v>313.60000000000002</v>
      </c>
      <c r="BI90" s="55">
        <f t="shared" si="352"/>
        <v>-1</v>
      </c>
      <c r="BJ90" s="55">
        <f t="shared" si="352"/>
        <v>1.046997389033943</v>
      </c>
      <c r="BK90" s="29">
        <v>0</v>
      </c>
      <c r="BL90" s="29">
        <f>BL81</f>
        <v>368.4</v>
      </c>
      <c r="BM90" s="29">
        <f t="shared" si="385"/>
        <v>0</v>
      </c>
      <c r="BN90" s="29">
        <f t="shared" si="385"/>
        <v>682</v>
      </c>
      <c r="BO90" s="55">
        <f t="shared" si="354"/>
        <v>-1</v>
      </c>
      <c r="BP90" s="55">
        <f t="shared" si="354"/>
        <v>3.4516971279373374</v>
      </c>
      <c r="BQ90" s="29"/>
      <c r="BR90" s="29"/>
      <c r="BS90" s="29">
        <f t="shared" si="386"/>
        <v>0</v>
      </c>
      <c r="BT90" s="29">
        <f t="shared" si="386"/>
        <v>682</v>
      </c>
      <c r="BU90" s="55">
        <f t="shared" si="356"/>
        <v>-1</v>
      </c>
      <c r="BV90" s="55">
        <f t="shared" si="356"/>
        <v>2.0500894454382825</v>
      </c>
      <c r="BW90" s="29"/>
      <c r="BX90" s="29"/>
      <c r="BY90" s="29">
        <f t="shared" si="387"/>
        <v>0</v>
      </c>
      <c r="BZ90" s="29">
        <f t="shared" si="387"/>
        <v>682</v>
      </c>
      <c r="CA90" s="55">
        <f t="shared" si="358"/>
        <v>-1</v>
      </c>
      <c r="CB90" s="55">
        <f t="shared" si="358"/>
        <v>0.92492238216200984</v>
      </c>
      <c r="CC90" s="29"/>
      <c r="CD90" s="29"/>
      <c r="CE90" s="29">
        <f t="shared" si="388"/>
        <v>0</v>
      </c>
      <c r="CF90" s="29">
        <f t="shared" si="388"/>
        <v>682</v>
      </c>
      <c r="CG90" s="55">
        <f t="shared" si="360"/>
        <v>-1</v>
      </c>
      <c r="CH90" s="55">
        <f t="shared" si="360"/>
        <v>0.3052631578947369</v>
      </c>
      <c r="CI90" s="29"/>
      <c r="CJ90" s="29"/>
      <c r="CK90" s="29">
        <f t="shared" si="389"/>
        <v>0</v>
      </c>
      <c r="CL90" s="29">
        <f t="shared" si="389"/>
        <v>682</v>
      </c>
      <c r="CM90" s="55">
        <f t="shared" si="362"/>
        <v>-1</v>
      </c>
      <c r="CN90" s="55">
        <f t="shared" si="362"/>
        <v>0.3052631578947369</v>
      </c>
      <c r="CO90" s="29"/>
      <c r="CP90" s="29"/>
      <c r="CQ90" s="29">
        <f t="shared" si="390"/>
        <v>0</v>
      </c>
      <c r="CR90" s="29">
        <f t="shared" si="390"/>
        <v>682</v>
      </c>
      <c r="CS90" s="55">
        <f t="shared" si="364"/>
        <v>-1</v>
      </c>
      <c r="CT90" s="55">
        <f t="shared" si="364"/>
        <v>-0.35593540466521867</v>
      </c>
      <c r="CU90" s="29"/>
      <c r="CV90" s="29"/>
      <c r="CW90" s="29">
        <f t="shared" si="391"/>
        <v>0</v>
      </c>
      <c r="CX90" s="29">
        <f t="shared" si="391"/>
        <v>682</v>
      </c>
      <c r="CY90" s="55">
        <f t="shared" si="366"/>
        <v>-1</v>
      </c>
      <c r="CZ90" s="55">
        <f t="shared" si="366"/>
        <v>-0.4359907376778035</v>
      </c>
      <c r="DA90" s="29"/>
      <c r="DB90" s="29"/>
      <c r="DC90" s="29">
        <f t="shared" si="392"/>
        <v>0</v>
      </c>
      <c r="DD90" s="29">
        <f t="shared" si="392"/>
        <v>682</v>
      </c>
      <c r="DE90" s="55">
        <f t="shared" si="368"/>
        <v>-1</v>
      </c>
      <c r="DF90" s="55">
        <f t="shared" si="368"/>
        <v>-0.50432444218329819</v>
      </c>
      <c r="DG90" s="29"/>
      <c r="DH90" s="29"/>
      <c r="DI90" s="29">
        <f t="shared" si="393"/>
        <v>0</v>
      </c>
      <c r="DJ90" s="29">
        <f t="shared" si="393"/>
        <v>682</v>
      </c>
      <c r="DK90" s="55">
        <f t="shared" si="370"/>
        <v>-1</v>
      </c>
      <c r="DL90" s="55">
        <f t="shared" si="370"/>
        <v>-0.50432444218329819</v>
      </c>
      <c r="DM90" s="29"/>
      <c r="DN90" s="29"/>
      <c r="DO90" s="29"/>
      <c r="DP90" s="29"/>
      <c r="DQ90" s="29">
        <v>0</v>
      </c>
      <c r="DR90" s="29">
        <v>2269.5</v>
      </c>
      <c r="DS90" s="55">
        <f>IF($AY$90=0,1,DQ90/$AY$90-1)</f>
        <v>1</v>
      </c>
      <c r="DT90" s="55">
        <f>IF($AZ$90=0,1,DR90/$AZ$90-1)</f>
        <v>0</v>
      </c>
      <c r="DU90" s="55">
        <f>IF($E$90=0,1,DQ90/$E$90-1)</f>
        <v>-1</v>
      </c>
      <c r="DV90" s="55">
        <f>IF($E$90=0,1,DR90/$E$90-1)</f>
        <v>-0.9439208689979639</v>
      </c>
      <c r="DW90" s="2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18" customHeight="1">
      <c r="A91" s="230">
        <v>414</v>
      </c>
      <c r="B91" s="231"/>
      <c r="C91" s="29"/>
      <c r="D91" s="29"/>
      <c r="E91" s="29">
        <f t="shared" si="398"/>
        <v>1002.7</v>
      </c>
      <c r="F91" s="29">
        <f t="shared" si="398"/>
        <v>0</v>
      </c>
      <c r="G91" s="29">
        <v>0</v>
      </c>
      <c r="H91" s="29">
        <v>0</v>
      </c>
      <c r="I91" s="29">
        <v>28.5</v>
      </c>
      <c r="J91" s="29">
        <v>0</v>
      </c>
      <c r="K91" s="29">
        <f t="shared" si="372"/>
        <v>28.5</v>
      </c>
      <c r="L91" s="29">
        <f t="shared" si="372"/>
        <v>0</v>
      </c>
      <c r="M91" s="29">
        <v>26.1</v>
      </c>
      <c r="N91" s="29">
        <v>0</v>
      </c>
      <c r="O91" s="29">
        <f t="shared" si="399"/>
        <v>28.5</v>
      </c>
      <c r="P91" s="29">
        <f t="shared" si="399"/>
        <v>0</v>
      </c>
      <c r="Q91" s="29">
        <v>39.299999999999997</v>
      </c>
      <c r="R91" s="29">
        <v>0</v>
      </c>
      <c r="S91" s="29">
        <f t="shared" si="374"/>
        <v>67.8</v>
      </c>
      <c r="T91" s="29">
        <f t="shared" si="374"/>
        <v>0</v>
      </c>
      <c r="U91" s="29">
        <v>0</v>
      </c>
      <c r="V91" s="29">
        <v>0</v>
      </c>
      <c r="W91" s="29">
        <f t="shared" si="375"/>
        <v>67.8</v>
      </c>
      <c r="X91" s="29">
        <f t="shared" si="375"/>
        <v>0</v>
      </c>
      <c r="Y91" s="29">
        <v>108.5</v>
      </c>
      <c r="Z91" s="29">
        <v>0</v>
      </c>
      <c r="AA91" s="29">
        <f t="shared" si="376"/>
        <v>176.3</v>
      </c>
      <c r="AB91" s="29">
        <f t="shared" si="376"/>
        <v>0</v>
      </c>
      <c r="AC91" s="29">
        <v>65.5</v>
      </c>
      <c r="AD91" s="29">
        <v>0</v>
      </c>
      <c r="AE91" s="29">
        <f t="shared" si="377"/>
        <v>241.8</v>
      </c>
      <c r="AF91" s="29">
        <f t="shared" si="377"/>
        <v>0</v>
      </c>
      <c r="AG91" s="29">
        <v>32.9</v>
      </c>
      <c r="AH91" s="29">
        <v>0</v>
      </c>
      <c r="AI91" s="29">
        <f t="shared" si="378"/>
        <v>274.7</v>
      </c>
      <c r="AJ91" s="29">
        <f t="shared" si="378"/>
        <v>0</v>
      </c>
      <c r="AK91" s="29">
        <v>0</v>
      </c>
      <c r="AL91" s="29">
        <v>0</v>
      </c>
      <c r="AM91" s="29">
        <f t="shared" si="379"/>
        <v>274.7</v>
      </c>
      <c r="AN91" s="29">
        <f t="shared" si="379"/>
        <v>0</v>
      </c>
      <c r="AO91" s="29">
        <v>34.1</v>
      </c>
      <c r="AP91" s="29">
        <v>0</v>
      </c>
      <c r="AQ91" s="29">
        <f t="shared" si="380"/>
        <v>308.8</v>
      </c>
      <c r="AR91" s="29">
        <f t="shared" si="380"/>
        <v>0</v>
      </c>
      <c r="AS91" s="29">
        <v>223.8</v>
      </c>
      <c r="AT91" s="29">
        <v>0</v>
      </c>
      <c r="AU91" s="29">
        <f t="shared" si="382"/>
        <v>532.6</v>
      </c>
      <c r="AV91" s="29">
        <f t="shared" si="382"/>
        <v>0</v>
      </c>
      <c r="AW91" s="29">
        <v>444</v>
      </c>
      <c r="AX91" s="29">
        <v>0</v>
      </c>
      <c r="AY91" s="29">
        <v>0</v>
      </c>
      <c r="AZ91" s="29">
        <v>15</v>
      </c>
      <c r="BA91" s="55">
        <f t="shared" si="350"/>
        <v>-1</v>
      </c>
      <c r="BB91" s="55">
        <f t="shared" si="350"/>
        <v>1</v>
      </c>
      <c r="BC91" s="29">
        <v>0</v>
      </c>
      <c r="BD91" s="29">
        <v>0</v>
      </c>
      <c r="BE91" s="29">
        <v>0</v>
      </c>
      <c r="BF91" s="29">
        <v>3</v>
      </c>
      <c r="BG91" s="29">
        <f t="shared" si="384"/>
        <v>0</v>
      </c>
      <c r="BH91" s="29">
        <f t="shared" si="384"/>
        <v>3</v>
      </c>
      <c r="BI91" s="55">
        <f t="shared" si="352"/>
        <v>-1</v>
      </c>
      <c r="BJ91" s="55">
        <f t="shared" si="352"/>
        <v>1</v>
      </c>
      <c r="BK91" s="29">
        <v>0</v>
      </c>
      <c r="BL91" s="29">
        <v>0</v>
      </c>
      <c r="BM91" s="29">
        <f t="shared" si="385"/>
        <v>0</v>
      </c>
      <c r="BN91" s="29">
        <f t="shared" si="385"/>
        <v>3</v>
      </c>
      <c r="BO91" s="55">
        <f t="shared" si="354"/>
        <v>-1</v>
      </c>
      <c r="BP91" s="55">
        <f t="shared" si="354"/>
        <v>1</v>
      </c>
      <c r="BQ91" s="29"/>
      <c r="BR91" s="29"/>
      <c r="BS91" s="29">
        <f t="shared" si="386"/>
        <v>0</v>
      </c>
      <c r="BT91" s="29">
        <f t="shared" si="386"/>
        <v>3</v>
      </c>
      <c r="BU91" s="55">
        <f t="shared" si="356"/>
        <v>-1</v>
      </c>
      <c r="BV91" s="55">
        <f t="shared" si="356"/>
        <v>1</v>
      </c>
      <c r="BW91" s="29"/>
      <c r="BX91" s="29"/>
      <c r="BY91" s="29">
        <f t="shared" si="387"/>
        <v>0</v>
      </c>
      <c r="BZ91" s="29">
        <f t="shared" si="387"/>
        <v>3</v>
      </c>
      <c r="CA91" s="55">
        <f t="shared" si="358"/>
        <v>-1</v>
      </c>
      <c r="CB91" s="55">
        <f t="shared" si="358"/>
        <v>1</v>
      </c>
      <c r="CC91" s="29"/>
      <c r="CD91" s="29"/>
      <c r="CE91" s="29">
        <f t="shared" si="388"/>
        <v>0</v>
      </c>
      <c r="CF91" s="29">
        <f t="shared" si="388"/>
        <v>3</v>
      </c>
      <c r="CG91" s="55">
        <f t="shared" si="360"/>
        <v>-1</v>
      </c>
      <c r="CH91" s="55">
        <f t="shared" si="360"/>
        <v>1</v>
      </c>
      <c r="CI91" s="29"/>
      <c r="CJ91" s="29"/>
      <c r="CK91" s="29">
        <f t="shared" si="389"/>
        <v>0</v>
      </c>
      <c r="CL91" s="29">
        <f t="shared" si="389"/>
        <v>3</v>
      </c>
      <c r="CM91" s="55">
        <f t="shared" si="362"/>
        <v>-1</v>
      </c>
      <c r="CN91" s="55">
        <f t="shared" si="362"/>
        <v>1</v>
      </c>
      <c r="CO91" s="29"/>
      <c r="CP91" s="29"/>
      <c r="CQ91" s="29">
        <f t="shared" si="390"/>
        <v>0</v>
      </c>
      <c r="CR91" s="29">
        <f t="shared" si="390"/>
        <v>3</v>
      </c>
      <c r="CS91" s="55">
        <f t="shared" si="364"/>
        <v>-1</v>
      </c>
      <c r="CT91" s="55">
        <f t="shared" si="364"/>
        <v>1</v>
      </c>
      <c r="CU91" s="29"/>
      <c r="CV91" s="29"/>
      <c r="CW91" s="29">
        <f t="shared" si="391"/>
        <v>0</v>
      </c>
      <c r="CX91" s="29">
        <f t="shared" si="391"/>
        <v>3</v>
      </c>
      <c r="CY91" s="55">
        <f t="shared" si="366"/>
        <v>-1</v>
      </c>
      <c r="CZ91" s="55">
        <f t="shared" si="366"/>
        <v>1</v>
      </c>
      <c r="DA91" s="29"/>
      <c r="DB91" s="29"/>
      <c r="DC91" s="29">
        <f t="shared" si="392"/>
        <v>0</v>
      </c>
      <c r="DD91" s="29">
        <f t="shared" si="392"/>
        <v>3</v>
      </c>
      <c r="DE91" s="55">
        <f t="shared" si="368"/>
        <v>-1</v>
      </c>
      <c r="DF91" s="55">
        <f t="shared" si="368"/>
        <v>1</v>
      </c>
      <c r="DG91" s="29"/>
      <c r="DH91" s="29"/>
      <c r="DI91" s="29">
        <f t="shared" si="393"/>
        <v>0</v>
      </c>
      <c r="DJ91" s="29">
        <f t="shared" si="393"/>
        <v>3</v>
      </c>
      <c r="DK91" s="55">
        <f t="shared" si="370"/>
        <v>-1</v>
      </c>
      <c r="DL91" s="55">
        <f t="shared" si="370"/>
        <v>1</v>
      </c>
      <c r="DM91" s="29"/>
      <c r="DN91" s="29"/>
      <c r="DO91" s="29"/>
      <c r="DP91" s="29"/>
      <c r="DQ91" s="29">
        <v>0</v>
      </c>
      <c r="DR91" s="29">
        <v>15</v>
      </c>
      <c r="DS91" s="55">
        <f>IF($AY$91=0,1,DQ91/$AY$91-1)</f>
        <v>1</v>
      </c>
      <c r="DT91" s="55">
        <f>IF($AZ$91=0,1,DR91/$AZ$91-1)</f>
        <v>0</v>
      </c>
      <c r="DU91" s="55">
        <f>IF($E$91=0,1,DQ91/$E$91-1)</f>
        <v>-1</v>
      </c>
      <c r="DV91" s="55">
        <f>IF($E$91=0,1,DR91/$E$91-1)</f>
        <v>-0.98504039094444995</v>
      </c>
      <c r="DW91" s="2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230">
        <v>521</v>
      </c>
      <c r="B92" s="231"/>
      <c r="C92" s="29"/>
      <c r="D92" s="29"/>
      <c r="E92" s="29">
        <f t="shared" si="398"/>
        <v>659.59999999999991</v>
      </c>
      <c r="F92" s="29">
        <f t="shared" si="398"/>
        <v>0</v>
      </c>
      <c r="G92" s="29">
        <v>112.6</v>
      </c>
      <c r="H92" s="29">
        <v>0</v>
      </c>
      <c r="I92" s="29">
        <v>227.2</v>
      </c>
      <c r="J92" s="29">
        <v>0</v>
      </c>
      <c r="K92" s="29">
        <f t="shared" si="372"/>
        <v>339.79999999999995</v>
      </c>
      <c r="L92" s="29">
        <f t="shared" si="372"/>
        <v>0</v>
      </c>
      <c r="M92" s="29">
        <v>0</v>
      </c>
      <c r="N92" s="29">
        <v>0</v>
      </c>
      <c r="O92" s="29">
        <f t="shared" si="399"/>
        <v>339.79999999999995</v>
      </c>
      <c r="P92" s="29">
        <f t="shared" si="399"/>
        <v>0</v>
      </c>
      <c r="Q92" s="29">
        <v>0</v>
      </c>
      <c r="R92" s="29">
        <v>0</v>
      </c>
      <c r="S92" s="29">
        <f t="shared" si="374"/>
        <v>339.79999999999995</v>
      </c>
      <c r="T92" s="29">
        <f t="shared" si="374"/>
        <v>0</v>
      </c>
      <c r="U92" s="29">
        <v>0</v>
      </c>
      <c r="V92" s="29">
        <v>0</v>
      </c>
      <c r="W92" s="29">
        <f t="shared" si="375"/>
        <v>339.79999999999995</v>
      </c>
      <c r="X92" s="29">
        <f t="shared" si="375"/>
        <v>0</v>
      </c>
      <c r="Y92" s="29">
        <v>0</v>
      </c>
      <c r="Z92" s="29">
        <v>0</v>
      </c>
      <c r="AA92" s="29">
        <f t="shared" si="376"/>
        <v>339.79999999999995</v>
      </c>
      <c r="AB92" s="29">
        <f t="shared" si="376"/>
        <v>0</v>
      </c>
      <c r="AC92" s="29">
        <v>0</v>
      </c>
      <c r="AD92" s="29">
        <v>0</v>
      </c>
      <c r="AE92" s="29">
        <f t="shared" si="377"/>
        <v>339.79999999999995</v>
      </c>
      <c r="AF92" s="29">
        <f t="shared" si="377"/>
        <v>0</v>
      </c>
      <c r="AG92" s="29">
        <v>0</v>
      </c>
      <c r="AH92" s="29">
        <v>0</v>
      </c>
      <c r="AI92" s="29">
        <f t="shared" si="378"/>
        <v>339.79999999999995</v>
      </c>
      <c r="AJ92" s="29">
        <f t="shared" si="378"/>
        <v>0</v>
      </c>
      <c r="AK92" s="29">
        <v>0</v>
      </c>
      <c r="AL92" s="29">
        <v>0</v>
      </c>
      <c r="AM92" s="29">
        <f t="shared" si="379"/>
        <v>339.79999999999995</v>
      </c>
      <c r="AN92" s="29">
        <f t="shared" si="379"/>
        <v>0</v>
      </c>
      <c r="AO92" s="29">
        <v>0</v>
      </c>
      <c r="AP92" s="29">
        <v>0</v>
      </c>
      <c r="AQ92" s="29">
        <f t="shared" si="380"/>
        <v>339.79999999999995</v>
      </c>
      <c r="AR92" s="29">
        <f t="shared" si="380"/>
        <v>0</v>
      </c>
      <c r="AS92" s="29">
        <v>319.8</v>
      </c>
      <c r="AT92" s="29">
        <v>0</v>
      </c>
      <c r="AU92" s="29">
        <f t="shared" si="382"/>
        <v>659.59999999999991</v>
      </c>
      <c r="AV92" s="29">
        <f t="shared" si="382"/>
        <v>0</v>
      </c>
      <c r="AW92" s="29">
        <v>0</v>
      </c>
      <c r="AX92" s="29">
        <v>0</v>
      </c>
      <c r="AY92" s="29">
        <v>0</v>
      </c>
      <c r="AZ92" s="29">
        <v>0</v>
      </c>
      <c r="BA92" s="55">
        <f t="shared" si="350"/>
        <v>-1</v>
      </c>
      <c r="BB92" s="55">
        <f t="shared" si="350"/>
        <v>1</v>
      </c>
      <c r="BC92" s="29">
        <v>0</v>
      </c>
      <c r="BD92" s="29">
        <v>0</v>
      </c>
      <c r="BE92" s="29">
        <v>0</v>
      </c>
      <c r="BF92" s="29">
        <v>0</v>
      </c>
      <c r="BG92" s="29">
        <f t="shared" si="384"/>
        <v>0</v>
      </c>
      <c r="BH92" s="29">
        <f t="shared" si="384"/>
        <v>0</v>
      </c>
      <c r="BI92" s="55">
        <f t="shared" si="352"/>
        <v>-1</v>
      </c>
      <c r="BJ92" s="55">
        <f t="shared" si="352"/>
        <v>1</v>
      </c>
      <c r="BK92" s="29">
        <v>0</v>
      </c>
      <c r="BL92" s="29">
        <v>0</v>
      </c>
      <c r="BM92" s="29">
        <f t="shared" si="385"/>
        <v>0</v>
      </c>
      <c r="BN92" s="29">
        <f t="shared" si="385"/>
        <v>0</v>
      </c>
      <c r="BO92" s="55">
        <f t="shared" si="354"/>
        <v>-1</v>
      </c>
      <c r="BP92" s="55">
        <f t="shared" si="354"/>
        <v>1</v>
      </c>
      <c r="BQ92" s="29"/>
      <c r="BR92" s="29"/>
      <c r="BS92" s="29">
        <f t="shared" si="386"/>
        <v>0</v>
      </c>
      <c r="BT92" s="29">
        <f t="shared" si="386"/>
        <v>0</v>
      </c>
      <c r="BU92" s="55">
        <f t="shared" si="356"/>
        <v>-1</v>
      </c>
      <c r="BV92" s="55">
        <f t="shared" si="356"/>
        <v>1</v>
      </c>
      <c r="BW92" s="29"/>
      <c r="BX92" s="29"/>
      <c r="BY92" s="29">
        <f t="shared" si="387"/>
        <v>0</v>
      </c>
      <c r="BZ92" s="29">
        <f t="shared" si="387"/>
        <v>0</v>
      </c>
      <c r="CA92" s="55">
        <f t="shared" si="358"/>
        <v>-1</v>
      </c>
      <c r="CB92" s="55">
        <f t="shared" si="358"/>
        <v>1</v>
      </c>
      <c r="CC92" s="29"/>
      <c r="CD92" s="29"/>
      <c r="CE92" s="29">
        <f t="shared" si="388"/>
        <v>0</v>
      </c>
      <c r="CF92" s="29">
        <f t="shared" si="388"/>
        <v>0</v>
      </c>
      <c r="CG92" s="55">
        <f t="shared" si="360"/>
        <v>-1</v>
      </c>
      <c r="CH92" s="55">
        <f t="shared" si="360"/>
        <v>1</v>
      </c>
      <c r="CI92" s="29"/>
      <c r="CJ92" s="29"/>
      <c r="CK92" s="29">
        <f t="shared" si="389"/>
        <v>0</v>
      </c>
      <c r="CL92" s="29">
        <f t="shared" si="389"/>
        <v>0</v>
      </c>
      <c r="CM92" s="55">
        <f t="shared" si="362"/>
        <v>-1</v>
      </c>
      <c r="CN92" s="55">
        <f t="shared" si="362"/>
        <v>1</v>
      </c>
      <c r="CO92" s="29"/>
      <c r="CP92" s="29"/>
      <c r="CQ92" s="29">
        <f t="shared" si="390"/>
        <v>0</v>
      </c>
      <c r="CR92" s="29">
        <f t="shared" si="390"/>
        <v>0</v>
      </c>
      <c r="CS92" s="55">
        <f t="shared" si="364"/>
        <v>-1</v>
      </c>
      <c r="CT92" s="55">
        <f t="shared" si="364"/>
        <v>1</v>
      </c>
      <c r="CU92" s="29"/>
      <c r="CV92" s="29"/>
      <c r="CW92" s="29">
        <f t="shared" si="391"/>
        <v>0</v>
      </c>
      <c r="CX92" s="29">
        <f t="shared" si="391"/>
        <v>0</v>
      </c>
      <c r="CY92" s="55">
        <f t="shared" si="366"/>
        <v>-1</v>
      </c>
      <c r="CZ92" s="55">
        <f t="shared" si="366"/>
        <v>1</v>
      </c>
      <c r="DA92" s="29"/>
      <c r="DB92" s="29"/>
      <c r="DC92" s="29">
        <f t="shared" si="392"/>
        <v>0</v>
      </c>
      <c r="DD92" s="29">
        <f t="shared" si="392"/>
        <v>0</v>
      </c>
      <c r="DE92" s="55">
        <f t="shared" si="368"/>
        <v>-1</v>
      </c>
      <c r="DF92" s="55">
        <f t="shared" si="368"/>
        <v>1</v>
      </c>
      <c r="DG92" s="29"/>
      <c r="DH92" s="29"/>
      <c r="DI92" s="29">
        <f t="shared" si="393"/>
        <v>0</v>
      </c>
      <c r="DJ92" s="29">
        <f t="shared" si="393"/>
        <v>0</v>
      </c>
      <c r="DK92" s="55">
        <f t="shared" si="370"/>
        <v>-1</v>
      </c>
      <c r="DL92" s="55">
        <f t="shared" si="370"/>
        <v>1</v>
      </c>
      <c r="DM92" s="29"/>
      <c r="DN92" s="29"/>
      <c r="DO92" s="29"/>
      <c r="DP92" s="29"/>
      <c r="DQ92" s="29">
        <v>0</v>
      </c>
      <c r="DR92" s="29">
        <v>0</v>
      </c>
      <c r="DS92" s="55">
        <f>IF($AY$92=0,1,DQ92/$AY$92-1)</f>
        <v>1</v>
      </c>
      <c r="DT92" s="55">
        <f>IF($AZ$92=0,1,DR92/$AZ$92-1)</f>
        <v>1</v>
      </c>
      <c r="DU92" s="55">
        <f>IF($E$92=0,1,DQ92/$E$92-1)</f>
        <v>-1</v>
      </c>
      <c r="DV92" s="55">
        <f>IF($E$92=0,1,DR92/$E$92-1)</f>
        <v>-1</v>
      </c>
      <c r="DW92" s="2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30">
        <v>831</v>
      </c>
      <c r="B93" s="231"/>
      <c r="C93" s="29"/>
      <c r="D93" s="29"/>
      <c r="E93" s="29">
        <f t="shared" si="398"/>
        <v>3315</v>
      </c>
      <c r="F93" s="29">
        <f t="shared" si="398"/>
        <v>0</v>
      </c>
      <c r="G93" s="29">
        <v>605.1</v>
      </c>
      <c r="H93" s="29">
        <v>0</v>
      </c>
      <c r="I93" s="29">
        <v>605.1</v>
      </c>
      <c r="J93" s="29">
        <v>0</v>
      </c>
      <c r="K93" s="29">
        <f t="shared" si="372"/>
        <v>1210.2</v>
      </c>
      <c r="L93" s="29">
        <f t="shared" si="372"/>
        <v>0</v>
      </c>
      <c r="M93" s="29">
        <v>0</v>
      </c>
      <c r="N93" s="29">
        <v>0</v>
      </c>
      <c r="O93" s="29">
        <f t="shared" si="399"/>
        <v>1210.2</v>
      </c>
      <c r="P93" s="29">
        <f t="shared" si="399"/>
        <v>0</v>
      </c>
      <c r="Q93" s="29">
        <v>0</v>
      </c>
      <c r="R93" s="29">
        <v>0</v>
      </c>
      <c r="S93" s="29">
        <f t="shared" si="374"/>
        <v>1210.2</v>
      </c>
      <c r="T93" s="29">
        <f t="shared" si="374"/>
        <v>0</v>
      </c>
      <c r="U93" s="29">
        <v>0</v>
      </c>
      <c r="V93" s="29">
        <v>0</v>
      </c>
      <c r="W93" s="29">
        <f t="shared" si="375"/>
        <v>1210.2</v>
      </c>
      <c r="X93" s="29">
        <f t="shared" si="375"/>
        <v>0</v>
      </c>
      <c r="Y93" s="29">
        <v>0</v>
      </c>
      <c r="Z93" s="29">
        <v>0</v>
      </c>
      <c r="AA93" s="29">
        <f t="shared" si="376"/>
        <v>1210.2</v>
      </c>
      <c r="AB93" s="29">
        <f t="shared" si="376"/>
        <v>0</v>
      </c>
      <c r="AC93" s="29">
        <v>0</v>
      </c>
      <c r="AD93" s="29">
        <v>0</v>
      </c>
      <c r="AE93" s="29">
        <f t="shared" si="377"/>
        <v>1210.2</v>
      </c>
      <c r="AF93" s="29">
        <f t="shared" si="377"/>
        <v>0</v>
      </c>
      <c r="AG93" s="29">
        <v>0</v>
      </c>
      <c r="AH93" s="29">
        <v>0</v>
      </c>
      <c r="AI93" s="29">
        <f t="shared" si="378"/>
        <v>1210.2</v>
      </c>
      <c r="AJ93" s="29">
        <f t="shared" si="378"/>
        <v>0</v>
      </c>
      <c r="AK93" s="29">
        <v>0</v>
      </c>
      <c r="AL93" s="29">
        <v>0</v>
      </c>
      <c r="AM93" s="29">
        <f t="shared" si="379"/>
        <v>1210.2</v>
      </c>
      <c r="AN93" s="29">
        <f t="shared" si="379"/>
        <v>0</v>
      </c>
      <c r="AO93" s="29">
        <v>0</v>
      </c>
      <c r="AP93" s="29">
        <v>0</v>
      </c>
      <c r="AQ93" s="29">
        <f t="shared" si="380"/>
        <v>1210.2</v>
      </c>
      <c r="AR93" s="29">
        <f t="shared" si="380"/>
        <v>0</v>
      </c>
      <c r="AS93" s="29">
        <v>1295.5999999999999</v>
      </c>
      <c r="AT93" s="29">
        <v>0</v>
      </c>
      <c r="AU93" s="29">
        <f t="shared" si="382"/>
        <v>2505.8000000000002</v>
      </c>
      <c r="AV93" s="29">
        <f t="shared" si="382"/>
        <v>0</v>
      </c>
      <c r="AW93" s="29">
        <v>809.2</v>
      </c>
      <c r="AX93" s="29">
        <v>0</v>
      </c>
      <c r="AY93" s="29">
        <v>0</v>
      </c>
      <c r="AZ93" s="29">
        <v>0</v>
      </c>
      <c r="BA93" s="55">
        <f t="shared" si="350"/>
        <v>-1</v>
      </c>
      <c r="BB93" s="55">
        <f t="shared" si="350"/>
        <v>1</v>
      </c>
      <c r="BC93" s="29">
        <v>0</v>
      </c>
      <c r="BD93" s="29">
        <v>0</v>
      </c>
      <c r="BE93" s="29">
        <v>0</v>
      </c>
      <c r="BF93" s="29">
        <v>0</v>
      </c>
      <c r="BG93" s="29">
        <f t="shared" si="384"/>
        <v>0</v>
      </c>
      <c r="BH93" s="29">
        <f t="shared" si="384"/>
        <v>0</v>
      </c>
      <c r="BI93" s="55">
        <f t="shared" si="352"/>
        <v>-1</v>
      </c>
      <c r="BJ93" s="55">
        <f t="shared" si="352"/>
        <v>1</v>
      </c>
      <c r="BK93" s="29">
        <v>0</v>
      </c>
      <c r="BL93" s="29">
        <v>0</v>
      </c>
      <c r="BM93" s="29">
        <f t="shared" si="385"/>
        <v>0</v>
      </c>
      <c r="BN93" s="29">
        <f t="shared" si="385"/>
        <v>0</v>
      </c>
      <c r="BO93" s="55">
        <f t="shared" si="354"/>
        <v>-1</v>
      </c>
      <c r="BP93" s="55">
        <f t="shared" si="354"/>
        <v>1</v>
      </c>
      <c r="BQ93" s="29"/>
      <c r="BR93" s="29"/>
      <c r="BS93" s="29">
        <f t="shared" si="386"/>
        <v>0</v>
      </c>
      <c r="BT93" s="29">
        <f t="shared" si="386"/>
        <v>0</v>
      </c>
      <c r="BU93" s="55">
        <f t="shared" si="356"/>
        <v>-1</v>
      </c>
      <c r="BV93" s="55">
        <f t="shared" si="356"/>
        <v>1</v>
      </c>
      <c r="BW93" s="29"/>
      <c r="BX93" s="29"/>
      <c r="BY93" s="29">
        <f t="shared" si="387"/>
        <v>0</v>
      </c>
      <c r="BZ93" s="29">
        <f t="shared" si="387"/>
        <v>0</v>
      </c>
      <c r="CA93" s="55">
        <f t="shared" si="358"/>
        <v>-1</v>
      </c>
      <c r="CB93" s="55">
        <f t="shared" si="358"/>
        <v>1</v>
      </c>
      <c r="CC93" s="29"/>
      <c r="CD93" s="29"/>
      <c r="CE93" s="29">
        <f t="shared" si="388"/>
        <v>0</v>
      </c>
      <c r="CF93" s="29">
        <f t="shared" si="388"/>
        <v>0</v>
      </c>
      <c r="CG93" s="55">
        <f t="shared" si="360"/>
        <v>-1</v>
      </c>
      <c r="CH93" s="55">
        <f t="shared" si="360"/>
        <v>1</v>
      </c>
      <c r="CI93" s="29"/>
      <c r="CJ93" s="29"/>
      <c r="CK93" s="29">
        <f t="shared" si="389"/>
        <v>0</v>
      </c>
      <c r="CL93" s="29">
        <f t="shared" si="389"/>
        <v>0</v>
      </c>
      <c r="CM93" s="55">
        <f t="shared" si="362"/>
        <v>-1</v>
      </c>
      <c r="CN93" s="55">
        <f t="shared" si="362"/>
        <v>1</v>
      </c>
      <c r="CO93" s="29"/>
      <c r="CP93" s="29"/>
      <c r="CQ93" s="29">
        <f t="shared" si="390"/>
        <v>0</v>
      </c>
      <c r="CR93" s="29">
        <f t="shared" si="390"/>
        <v>0</v>
      </c>
      <c r="CS93" s="55">
        <f t="shared" si="364"/>
        <v>-1</v>
      </c>
      <c r="CT93" s="55">
        <f t="shared" si="364"/>
        <v>1</v>
      </c>
      <c r="CU93" s="29"/>
      <c r="CV93" s="29"/>
      <c r="CW93" s="29">
        <f t="shared" si="391"/>
        <v>0</v>
      </c>
      <c r="CX93" s="29">
        <f t="shared" si="391"/>
        <v>0</v>
      </c>
      <c r="CY93" s="55">
        <f t="shared" si="366"/>
        <v>-1</v>
      </c>
      <c r="CZ93" s="55">
        <f t="shared" si="366"/>
        <v>1</v>
      </c>
      <c r="DA93" s="29"/>
      <c r="DB93" s="29"/>
      <c r="DC93" s="29">
        <f t="shared" si="392"/>
        <v>0</v>
      </c>
      <c r="DD93" s="29">
        <f t="shared" si="392"/>
        <v>0</v>
      </c>
      <c r="DE93" s="55">
        <f t="shared" si="368"/>
        <v>-1</v>
      </c>
      <c r="DF93" s="55">
        <f t="shared" si="368"/>
        <v>1</v>
      </c>
      <c r="DG93" s="29"/>
      <c r="DH93" s="29"/>
      <c r="DI93" s="29">
        <f t="shared" si="393"/>
        <v>0</v>
      </c>
      <c r="DJ93" s="29">
        <f t="shared" si="393"/>
        <v>0</v>
      </c>
      <c r="DK93" s="55">
        <f t="shared" si="370"/>
        <v>-1</v>
      </c>
      <c r="DL93" s="55">
        <f t="shared" si="370"/>
        <v>1</v>
      </c>
      <c r="DM93" s="29"/>
      <c r="DN93" s="29"/>
      <c r="DO93" s="29"/>
      <c r="DP93" s="29"/>
      <c r="DQ93" s="29">
        <v>0</v>
      </c>
      <c r="DR93" s="29">
        <v>0</v>
      </c>
      <c r="DS93" s="55">
        <f>IF($AY$93=0,1,DQ93/$AY$93-1)</f>
        <v>1</v>
      </c>
      <c r="DT93" s="55">
        <f>IF($AZ$93=0,1,DR93/$AZ$93-1)</f>
        <v>1</v>
      </c>
      <c r="DU93" s="55">
        <f>IF($E$93=0,1,DQ93/$E$93-1)</f>
        <v>-1</v>
      </c>
      <c r="DV93" s="55">
        <f>IF($E$93=0,1,DR93/$E$93-1)</f>
        <v>-1</v>
      </c>
      <c r="DW93" s="2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30">
        <v>851</v>
      </c>
      <c r="B94" s="231"/>
      <c r="C94" s="29"/>
      <c r="D94" s="29"/>
      <c r="E94" s="29">
        <f t="shared" si="398"/>
        <v>262.59999999999997</v>
      </c>
      <c r="F94" s="29">
        <f t="shared" si="398"/>
        <v>0</v>
      </c>
      <c r="G94" s="29">
        <v>0</v>
      </c>
      <c r="H94" s="29">
        <v>0</v>
      </c>
      <c r="I94" s="29">
        <v>0</v>
      </c>
      <c r="J94" s="29">
        <v>0</v>
      </c>
      <c r="K94" s="29">
        <f t="shared" si="372"/>
        <v>0</v>
      </c>
      <c r="L94" s="29">
        <f t="shared" si="372"/>
        <v>0</v>
      </c>
      <c r="M94" s="29">
        <v>53.5</v>
      </c>
      <c r="N94" s="29">
        <v>0</v>
      </c>
      <c r="O94" s="29">
        <f t="shared" si="399"/>
        <v>0</v>
      </c>
      <c r="P94" s="29">
        <f t="shared" si="399"/>
        <v>0</v>
      </c>
      <c r="Q94" s="29">
        <v>9.9</v>
      </c>
      <c r="R94" s="29">
        <v>0</v>
      </c>
      <c r="S94" s="29">
        <f t="shared" si="374"/>
        <v>9.9</v>
      </c>
      <c r="T94" s="29">
        <f t="shared" si="374"/>
        <v>0</v>
      </c>
      <c r="U94" s="29">
        <v>10.5</v>
      </c>
      <c r="V94" s="29">
        <v>0</v>
      </c>
      <c r="W94" s="29">
        <f t="shared" si="375"/>
        <v>20.399999999999999</v>
      </c>
      <c r="X94" s="29">
        <f t="shared" si="375"/>
        <v>0</v>
      </c>
      <c r="Y94" s="29">
        <v>5.5</v>
      </c>
      <c r="Z94" s="29">
        <v>0</v>
      </c>
      <c r="AA94" s="29">
        <f t="shared" si="376"/>
        <v>25.9</v>
      </c>
      <c r="AB94" s="29">
        <f t="shared" si="376"/>
        <v>0</v>
      </c>
      <c r="AC94" s="29">
        <v>13.5</v>
      </c>
      <c r="AD94" s="29">
        <v>0</v>
      </c>
      <c r="AE94" s="29">
        <f t="shared" si="377"/>
        <v>39.4</v>
      </c>
      <c r="AF94" s="29">
        <f t="shared" si="377"/>
        <v>0</v>
      </c>
      <c r="AG94" s="29">
        <v>6.1</v>
      </c>
      <c r="AH94" s="29">
        <v>0</v>
      </c>
      <c r="AI94" s="29">
        <f t="shared" si="378"/>
        <v>45.5</v>
      </c>
      <c r="AJ94" s="29">
        <f t="shared" si="378"/>
        <v>0</v>
      </c>
      <c r="AK94" s="29">
        <v>21.6</v>
      </c>
      <c r="AL94" s="29">
        <v>0</v>
      </c>
      <c r="AM94" s="29">
        <f t="shared" si="379"/>
        <v>67.099999999999994</v>
      </c>
      <c r="AN94" s="29">
        <f t="shared" si="379"/>
        <v>0</v>
      </c>
      <c r="AO94" s="29">
        <v>86.1</v>
      </c>
      <c r="AP94" s="29">
        <v>0</v>
      </c>
      <c r="AQ94" s="29">
        <f t="shared" si="380"/>
        <v>153.19999999999999</v>
      </c>
      <c r="AR94" s="29">
        <f t="shared" si="380"/>
        <v>0</v>
      </c>
      <c r="AS94" s="29">
        <v>23</v>
      </c>
      <c r="AT94" s="29">
        <v>0</v>
      </c>
      <c r="AU94" s="29">
        <f t="shared" si="382"/>
        <v>176.2</v>
      </c>
      <c r="AV94" s="29">
        <f t="shared" si="382"/>
        <v>0</v>
      </c>
      <c r="AW94" s="29">
        <v>32.9</v>
      </c>
      <c r="AX94" s="29">
        <v>0</v>
      </c>
      <c r="AY94" s="29">
        <v>0</v>
      </c>
      <c r="AZ94" s="29">
        <v>0</v>
      </c>
      <c r="BA94" s="55">
        <f t="shared" si="350"/>
        <v>-1</v>
      </c>
      <c r="BB94" s="55">
        <f t="shared" si="350"/>
        <v>1</v>
      </c>
      <c r="BC94" s="29">
        <v>0</v>
      </c>
      <c r="BD94" s="29">
        <v>0</v>
      </c>
      <c r="BE94" s="29">
        <v>0</v>
      </c>
      <c r="BF94" s="29">
        <v>0</v>
      </c>
      <c r="BG94" s="29">
        <f t="shared" si="384"/>
        <v>0</v>
      </c>
      <c r="BH94" s="29">
        <f t="shared" si="384"/>
        <v>0</v>
      </c>
      <c r="BI94" s="55">
        <f t="shared" si="352"/>
        <v>1</v>
      </c>
      <c r="BJ94" s="55">
        <f t="shared" si="352"/>
        <v>1</v>
      </c>
      <c r="BK94" s="29">
        <v>0</v>
      </c>
      <c r="BL94" s="29">
        <v>0</v>
      </c>
      <c r="BM94" s="29">
        <f t="shared" si="385"/>
        <v>0</v>
      </c>
      <c r="BN94" s="29">
        <f t="shared" si="385"/>
        <v>0</v>
      </c>
      <c r="BO94" s="55">
        <f t="shared" si="354"/>
        <v>1</v>
      </c>
      <c r="BP94" s="55">
        <f t="shared" si="354"/>
        <v>1</v>
      </c>
      <c r="BQ94" s="29"/>
      <c r="BR94" s="29"/>
      <c r="BS94" s="29">
        <f t="shared" si="386"/>
        <v>0</v>
      </c>
      <c r="BT94" s="29">
        <f t="shared" si="386"/>
        <v>0</v>
      </c>
      <c r="BU94" s="55">
        <f t="shared" si="356"/>
        <v>-1</v>
      </c>
      <c r="BV94" s="55">
        <f t="shared" si="356"/>
        <v>1</v>
      </c>
      <c r="BW94" s="29"/>
      <c r="BX94" s="29"/>
      <c r="BY94" s="29">
        <f t="shared" si="387"/>
        <v>0</v>
      </c>
      <c r="BZ94" s="29">
        <f t="shared" si="387"/>
        <v>0</v>
      </c>
      <c r="CA94" s="55">
        <f t="shared" si="358"/>
        <v>-1</v>
      </c>
      <c r="CB94" s="55">
        <f t="shared" si="358"/>
        <v>1</v>
      </c>
      <c r="CC94" s="29"/>
      <c r="CD94" s="29"/>
      <c r="CE94" s="29">
        <f t="shared" si="388"/>
        <v>0</v>
      </c>
      <c r="CF94" s="29">
        <f t="shared" si="388"/>
        <v>0</v>
      </c>
      <c r="CG94" s="55">
        <f t="shared" si="360"/>
        <v>-1</v>
      </c>
      <c r="CH94" s="55">
        <f t="shared" si="360"/>
        <v>1</v>
      </c>
      <c r="CI94" s="29"/>
      <c r="CJ94" s="29"/>
      <c r="CK94" s="29">
        <f t="shared" si="389"/>
        <v>0</v>
      </c>
      <c r="CL94" s="29">
        <f t="shared" si="389"/>
        <v>0</v>
      </c>
      <c r="CM94" s="55">
        <f t="shared" si="362"/>
        <v>-1</v>
      </c>
      <c r="CN94" s="55">
        <f t="shared" si="362"/>
        <v>1</v>
      </c>
      <c r="CO94" s="29"/>
      <c r="CP94" s="29"/>
      <c r="CQ94" s="29">
        <f t="shared" si="390"/>
        <v>0</v>
      </c>
      <c r="CR94" s="29">
        <f t="shared" si="390"/>
        <v>0</v>
      </c>
      <c r="CS94" s="55">
        <f t="shared" si="364"/>
        <v>-1</v>
      </c>
      <c r="CT94" s="55">
        <f t="shared" si="364"/>
        <v>1</v>
      </c>
      <c r="CU94" s="29"/>
      <c r="CV94" s="29"/>
      <c r="CW94" s="29">
        <f t="shared" si="391"/>
        <v>0</v>
      </c>
      <c r="CX94" s="29">
        <f t="shared" si="391"/>
        <v>0</v>
      </c>
      <c r="CY94" s="55">
        <f t="shared" si="366"/>
        <v>-1</v>
      </c>
      <c r="CZ94" s="55">
        <f t="shared" si="366"/>
        <v>1</v>
      </c>
      <c r="DA94" s="29"/>
      <c r="DB94" s="29"/>
      <c r="DC94" s="29">
        <f t="shared" si="392"/>
        <v>0</v>
      </c>
      <c r="DD94" s="29">
        <f t="shared" si="392"/>
        <v>0</v>
      </c>
      <c r="DE94" s="55">
        <f t="shared" si="368"/>
        <v>-1</v>
      </c>
      <c r="DF94" s="55">
        <f t="shared" si="368"/>
        <v>1</v>
      </c>
      <c r="DG94" s="29"/>
      <c r="DH94" s="29"/>
      <c r="DI94" s="29">
        <f t="shared" si="393"/>
        <v>0</v>
      </c>
      <c r="DJ94" s="29">
        <f t="shared" si="393"/>
        <v>0</v>
      </c>
      <c r="DK94" s="55">
        <f t="shared" si="370"/>
        <v>-1</v>
      </c>
      <c r="DL94" s="55">
        <f t="shared" si="370"/>
        <v>1</v>
      </c>
      <c r="DM94" s="29"/>
      <c r="DN94" s="29"/>
      <c r="DO94" s="29"/>
      <c r="DP94" s="29"/>
      <c r="DQ94" s="29">
        <v>0</v>
      </c>
      <c r="DR94" s="29">
        <v>0</v>
      </c>
      <c r="DS94" s="55">
        <f>IF($AY$94=0,1,DQ94/$AY$94-1)</f>
        <v>1</v>
      </c>
      <c r="DT94" s="55">
        <f>IF($AZ$94=0,1,DR94/$AZ$94-1)</f>
        <v>1</v>
      </c>
      <c r="DU94" s="55">
        <f>IF($E$94=0,1,DQ94/$E$94-1)</f>
        <v>-1</v>
      </c>
      <c r="DV94" s="55">
        <f>IF($E$94=0,1,DR94/$E$94-1)</f>
        <v>-1</v>
      </c>
      <c r="DW94" s="2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30">
        <v>853</v>
      </c>
      <c r="B95" s="231"/>
      <c r="C95" s="29"/>
      <c r="D95" s="29"/>
      <c r="E95" s="29">
        <f t="shared" si="398"/>
        <v>0</v>
      </c>
      <c r="F95" s="29">
        <f t="shared" si="398"/>
        <v>0</v>
      </c>
      <c r="G95" s="29">
        <v>0</v>
      </c>
      <c r="H95" s="29">
        <v>0</v>
      </c>
      <c r="I95" s="29">
        <v>0</v>
      </c>
      <c r="J95" s="29">
        <v>0</v>
      </c>
      <c r="K95" s="29">
        <f t="shared" si="372"/>
        <v>0</v>
      </c>
      <c r="L95" s="29">
        <f t="shared" si="372"/>
        <v>0</v>
      </c>
      <c r="M95" s="29">
        <v>0</v>
      </c>
      <c r="N95" s="29">
        <v>0</v>
      </c>
      <c r="O95" s="29">
        <f t="shared" si="399"/>
        <v>0</v>
      </c>
      <c r="P95" s="29">
        <f t="shared" si="399"/>
        <v>0</v>
      </c>
      <c r="Q95" s="29">
        <v>0</v>
      </c>
      <c r="R95" s="29">
        <v>0</v>
      </c>
      <c r="S95" s="29">
        <f t="shared" si="374"/>
        <v>0</v>
      </c>
      <c r="T95" s="29">
        <f t="shared" si="374"/>
        <v>0</v>
      </c>
      <c r="U95" s="29">
        <v>0</v>
      </c>
      <c r="V95" s="29">
        <v>0</v>
      </c>
      <c r="W95" s="29">
        <f t="shared" si="375"/>
        <v>0</v>
      </c>
      <c r="X95" s="29">
        <f t="shared" si="375"/>
        <v>0</v>
      </c>
      <c r="Y95" s="29">
        <v>0</v>
      </c>
      <c r="Z95" s="29">
        <v>0</v>
      </c>
      <c r="AA95" s="29">
        <f t="shared" si="376"/>
        <v>0</v>
      </c>
      <c r="AB95" s="29">
        <f t="shared" si="376"/>
        <v>0</v>
      </c>
      <c r="AC95" s="29">
        <v>0</v>
      </c>
      <c r="AD95" s="29">
        <v>0</v>
      </c>
      <c r="AE95" s="29">
        <f t="shared" si="377"/>
        <v>0</v>
      </c>
      <c r="AF95" s="29">
        <f t="shared" si="377"/>
        <v>0</v>
      </c>
      <c r="AG95" s="29">
        <v>0</v>
      </c>
      <c r="AH95" s="29">
        <v>0</v>
      </c>
      <c r="AI95" s="29">
        <f t="shared" si="378"/>
        <v>0</v>
      </c>
      <c r="AJ95" s="29">
        <f t="shared" si="378"/>
        <v>0</v>
      </c>
      <c r="AK95" s="29">
        <v>0</v>
      </c>
      <c r="AL95" s="29">
        <v>0</v>
      </c>
      <c r="AM95" s="29">
        <f t="shared" si="379"/>
        <v>0</v>
      </c>
      <c r="AN95" s="29">
        <f t="shared" si="379"/>
        <v>0</v>
      </c>
      <c r="AO95" s="29">
        <v>0</v>
      </c>
      <c r="AP95" s="29">
        <v>0</v>
      </c>
      <c r="AQ95" s="29">
        <f t="shared" si="380"/>
        <v>0</v>
      </c>
      <c r="AR95" s="29">
        <f t="shared" si="380"/>
        <v>0</v>
      </c>
      <c r="AS95" s="29">
        <v>578.5</v>
      </c>
      <c r="AT95" s="29">
        <v>0</v>
      </c>
      <c r="AU95" s="29">
        <f t="shared" si="382"/>
        <v>578.5</v>
      </c>
      <c r="AV95" s="29">
        <f t="shared" si="382"/>
        <v>0</v>
      </c>
      <c r="AW95" s="29">
        <v>-578.5</v>
      </c>
      <c r="AX95" s="29">
        <v>0</v>
      </c>
      <c r="AY95" s="29">
        <v>0</v>
      </c>
      <c r="AZ95" s="29">
        <v>0</v>
      </c>
      <c r="BA95" s="55">
        <f t="shared" si="350"/>
        <v>1</v>
      </c>
      <c r="BB95" s="55">
        <f t="shared" si="350"/>
        <v>1</v>
      </c>
      <c r="BC95" s="29">
        <v>0</v>
      </c>
      <c r="BD95" s="29">
        <v>0</v>
      </c>
      <c r="BE95" s="29">
        <v>0</v>
      </c>
      <c r="BF95" s="29">
        <v>0</v>
      </c>
      <c r="BG95" s="29">
        <f t="shared" si="384"/>
        <v>0</v>
      </c>
      <c r="BH95" s="29">
        <f t="shared" si="384"/>
        <v>0</v>
      </c>
      <c r="BI95" s="55">
        <f t="shared" si="352"/>
        <v>1</v>
      </c>
      <c r="BJ95" s="55">
        <f t="shared" si="352"/>
        <v>1</v>
      </c>
      <c r="BK95" s="29">
        <v>0</v>
      </c>
      <c r="BL95" s="29">
        <v>0</v>
      </c>
      <c r="BM95" s="29">
        <f t="shared" si="385"/>
        <v>0</v>
      </c>
      <c r="BN95" s="29">
        <f t="shared" si="385"/>
        <v>0</v>
      </c>
      <c r="BO95" s="55">
        <f t="shared" si="354"/>
        <v>1</v>
      </c>
      <c r="BP95" s="55">
        <f t="shared" si="354"/>
        <v>1</v>
      </c>
      <c r="BQ95" s="29"/>
      <c r="BR95" s="29"/>
      <c r="BS95" s="29">
        <f t="shared" si="386"/>
        <v>0</v>
      </c>
      <c r="BT95" s="29">
        <f t="shared" si="386"/>
        <v>0</v>
      </c>
      <c r="BU95" s="55">
        <f t="shared" si="356"/>
        <v>1</v>
      </c>
      <c r="BV95" s="55">
        <f t="shared" si="356"/>
        <v>1</v>
      </c>
      <c r="BW95" s="29"/>
      <c r="BX95" s="29"/>
      <c r="BY95" s="29">
        <f t="shared" si="387"/>
        <v>0</v>
      </c>
      <c r="BZ95" s="29">
        <f t="shared" si="387"/>
        <v>0</v>
      </c>
      <c r="CA95" s="55">
        <f t="shared" si="358"/>
        <v>1</v>
      </c>
      <c r="CB95" s="55">
        <f t="shared" si="358"/>
        <v>1</v>
      </c>
      <c r="CC95" s="29"/>
      <c r="CD95" s="29"/>
      <c r="CE95" s="29">
        <f t="shared" si="388"/>
        <v>0</v>
      </c>
      <c r="CF95" s="29">
        <f t="shared" si="388"/>
        <v>0</v>
      </c>
      <c r="CG95" s="55">
        <f t="shared" si="360"/>
        <v>1</v>
      </c>
      <c r="CH95" s="55">
        <f t="shared" si="360"/>
        <v>1</v>
      </c>
      <c r="CI95" s="29"/>
      <c r="CJ95" s="29"/>
      <c r="CK95" s="29">
        <f t="shared" si="389"/>
        <v>0</v>
      </c>
      <c r="CL95" s="29">
        <f t="shared" si="389"/>
        <v>0</v>
      </c>
      <c r="CM95" s="55">
        <f t="shared" si="362"/>
        <v>1</v>
      </c>
      <c r="CN95" s="55">
        <f t="shared" si="362"/>
        <v>1</v>
      </c>
      <c r="CO95" s="29"/>
      <c r="CP95" s="29"/>
      <c r="CQ95" s="29">
        <f t="shared" si="390"/>
        <v>0</v>
      </c>
      <c r="CR95" s="29">
        <f t="shared" si="390"/>
        <v>0</v>
      </c>
      <c r="CS95" s="55">
        <f t="shared" si="364"/>
        <v>1</v>
      </c>
      <c r="CT95" s="55">
        <f t="shared" si="364"/>
        <v>1</v>
      </c>
      <c r="CU95" s="29"/>
      <c r="CV95" s="29"/>
      <c r="CW95" s="29">
        <f t="shared" si="391"/>
        <v>0</v>
      </c>
      <c r="CX95" s="29">
        <f t="shared" si="391"/>
        <v>0</v>
      </c>
      <c r="CY95" s="55">
        <f t="shared" si="366"/>
        <v>1</v>
      </c>
      <c r="CZ95" s="55">
        <f t="shared" si="366"/>
        <v>1</v>
      </c>
      <c r="DA95" s="29"/>
      <c r="DB95" s="29"/>
      <c r="DC95" s="29">
        <f t="shared" si="392"/>
        <v>0</v>
      </c>
      <c r="DD95" s="29">
        <f t="shared" si="392"/>
        <v>0</v>
      </c>
      <c r="DE95" s="55">
        <f t="shared" si="368"/>
        <v>1</v>
      </c>
      <c r="DF95" s="55">
        <f t="shared" si="368"/>
        <v>1</v>
      </c>
      <c r="DG95" s="29"/>
      <c r="DH95" s="29"/>
      <c r="DI95" s="29">
        <f t="shared" si="393"/>
        <v>0</v>
      </c>
      <c r="DJ95" s="29">
        <f t="shared" si="393"/>
        <v>0</v>
      </c>
      <c r="DK95" s="55">
        <f t="shared" si="370"/>
        <v>-1</v>
      </c>
      <c r="DL95" s="55">
        <f t="shared" si="370"/>
        <v>1</v>
      </c>
      <c r="DM95" s="29"/>
      <c r="DN95" s="29"/>
      <c r="DO95" s="29"/>
      <c r="DP95" s="29"/>
      <c r="DQ95" s="29">
        <v>0</v>
      </c>
      <c r="DR95" s="29">
        <v>0</v>
      </c>
      <c r="DS95" s="55">
        <f>IF($AY$95=0,1,DQ95/$AY$95-1)</f>
        <v>1</v>
      </c>
      <c r="DT95" s="55">
        <f>IF($AZ$95=0,1,DR95/$AZ$95-1)</f>
        <v>1</v>
      </c>
      <c r="DU95" s="55">
        <f>IF($E$95=0,1,DQ95/$E$95-1)</f>
        <v>1</v>
      </c>
      <c r="DV95" s="55">
        <f>IF($E$95=0,1,DR95/$E$95-1)</f>
        <v>1</v>
      </c>
      <c r="DW95" s="2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30"/>
      <c r="B96" s="231"/>
      <c r="C96" s="29"/>
      <c r="D96" s="29"/>
      <c r="E96" s="29">
        <f t="shared" si="398"/>
        <v>0</v>
      </c>
      <c r="F96" s="29">
        <f t="shared" si="398"/>
        <v>20000</v>
      </c>
      <c r="G96" s="29">
        <v>0</v>
      </c>
      <c r="H96" s="29">
        <v>0</v>
      </c>
      <c r="I96" s="29">
        <v>0</v>
      </c>
      <c r="J96" s="29">
        <v>0</v>
      </c>
      <c r="K96" s="29">
        <f t="shared" si="372"/>
        <v>0</v>
      </c>
      <c r="L96" s="29">
        <f t="shared" si="372"/>
        <v>0</v>
      </c>
      <c r="M96" s="29">
        <v>0</v>
      </c>
      <c r="N96" s="29">
        <v>0</v>
      </c>
      <c r="O96" s="29">
        <f t="shared" si="399"/>
        <v>0</v>
      </c>
      <c r="P96" s="29">
        <f t="shared" si="399"/>
        <v>0</v>
      </c>
      <c r="Q96" s="29">
        <v>0</v>
      </c>
      <c r="R96" s="29">
        <v>0</v>
      </c>
      <c r="S96" s="29">
        <f t="shared" si="374"/>
        <v>0</v>
      </c>
      <c r="T96" s="29">
        <f t="shared" si="374"/>
        <v>0</v>
      </c>
      <c r="U96" s="29">
        <v>0</v>
      </c>
      <c r="V96" s="29">
        <v>0</v>
      </c>
      <c r="W96" s="29">
        <f t="shared" si="375"/>
        <v>0</v>
      </c>
      <c r="X96" s="29">
        <f t="shared" si="375"/>
        <v>0</v>
      </c>
      <c r="Y96" s="29">
        <v>0</v>
      </c>
      <c r="Z96" s="29">
        <v>16000</v>
      </c>
      <c r="AA96" s="29">
        <f t="shared" si="376"/>
        <v>0</v>
      </c>
      <c r="AB96" s="29">
        <f t="shared" si="376"/>
        <v>16000</v>
      </c>
      <c r="AC96" s="29">
        <v>0</v>
      </c>
      <c r="AD96" s="29">
        <v>0</v>
      </c>
      <c r="AE96" s="29">
        <f t="shared" si="377"/>
        <v>0</v>
      </c>
      <c r="AF96" s="29">
        <f t="shared" si="377"/>
        <v>16000</v>
      </c>
      <c r="AG96" s="29">
        <v>0</v>
      </c>
      <c r="AH96" s="29">
        <v>0</v>
      </c>
      <c r="AI96" s="29">
        <f t="shared" si="378"/>
        <v>0</v>
      </c>
      <c r="AJ96" s="29">
        <f t="shared" si="378"/>
        <v>16000</v>
      </c>
      <c r="AK96" s="29">
        <v>0</v>
      </c>
      <c r="AL96" s="29">
        <v>0</v>
      </c>
      <c r="AM96" s="29">
        <f t="shared" si="379"/>
        <v>0</v>
      </c>
      <c r="AN96" s="29">
        <f t="shared" si="379"/>
        <v>16000</v>
      </c>
      <c r="AO96" s="29">
        <v>0</v>
      </c>
      <c r="AP96" s="29">
        <v>0</v>
      </c>
      <c r="AQ96" s="29">
        <f t="shared" si="380"/>
        <v>0</v>
      </c>
      <c r="AR96" s="29">
        <f t="shared" si="380"/>
        <v>16000</v>
      </c>
      <c r="AS96" s="29">
        <v>0</v>
      </c>
      <c r="AT96" s="29">
        <v>0</v>
      </c>
      <c r="AU96" s="29">
        <f t="shared" si="382"/>
        <v>0</v>
      </c>
      <c r="AV96" s="29">
        <f t="shared" si="382"/>
        <v>16000</v>
      </c>
      <c r="AW96" s="29">
        <v>0</v>
      </c>
      <c r="AX96" s="29">
        <v>4000</v>
      </c>
      <c r="AY96" s="29">
        <v>0</v>
      </c>
      <c r="AZ96" s="29">
        <v>0</v>
      </c>
      <c r="BA96" s="55">
        <f t="shared" ref="BA96:BB96" si="400">IF(E96=0,1,AY96/E96-1)</f>
        <v>1</v>
      </c>
      <c r="BB96" s="55">
        <f t="shared" si="400"/>
        <v>-1</v>
      </c>
      <c r="BC96" s="29">
        <v>0</v>
      </c>
      <c r="BD96" s="29">
        <v>0</v>
      </c>
      <c r="BE96" s="29">
        <v>0</v>
      </c>
      <c r="BF96" s="29">
        <v>0</v>
      </c>
      <c r="BG96" s="29">
        <f t="shared" si="384"/>
        <v>0</v>
      </c>
      <c r="BH96" s="29">
        <f t="shared" si="384"/>
        <v>0</v>
      </c>
      <c r="BI96" s="55">
        <f t="shared" si="352"/>
        <v>1</v>
      </c>
      <c r="BJ96" s="55">
        <f t="shared" si="352"/>
        <v>1</v>
      </c>
      <c r="BK96" s="29">
        <v>0</v>
      </c>
      <c r="BL96" s="29">
        <v>0</v>
      </c>
      <c r="BM96" s="29">
        <f t="shared" si="385"/>
        <v>0</v>
      </c>
      <c r="BN96" s="29">
        <f t="shared" si="385"/>
        <v>0</v>
      </c>
      <c r="BO96" s="55">
        <f t="shared" si="354"/>
        <v>1</v>
      </c>
      <c r="BP96" s="55">
        <f t="shared" si="354"/>
        <v>1</v>
      </c>
      <c r="BQ96" s="29"/>
      <c r="BR96" s="29"/>
      <c r="BS96" s="29">
        <f t="shared" si="386"/>
        <v>0</v>
      </c>
      <c r="BT96" s="29">
        <f t="shared" si="386"/>
        <v>0</v>
      </c>
      <c r="BU96" s="55">
        <f t="shared" si="356"/>
        <v>1</v>
      </c>
      <c r="BV96" s="55">
        <f t="shared" si="356"/>
        <v>1</v>
      </c>
      <c r="BW96" s="29"/>
      <c r="BX96" s="29"/>
      <c r="BY96" s="29">
        <f t="shared" si="387"/>
        <v>0</v>
      </c>
      <c r="BZ96" s="29">
        <f t="shared" si="387"/>
        <v>0</v>
      </c>
      <c r="CA96" s="55">
        <f t="shared" si="358"/>
        <v>1</v>
      </c>
      <c r="CB96" s="55">
        <f t="shared" si="358"/>
        <v>1</v>
      </c>
      <c r="CC96" s="29"/>
      <c r="CD96" s="29"/>
      <c r="CE96" s="29">
        <f t="shared" si="388"/>
        <v>0</v>
      </c>
      <c r="CF96" s="29">
        <f t="shared" si="388"/>
        <v>0</v>
      </c>
      <c r="CG96" s="55">
        <f t="shared" si="360"/>
        <v>1</v>
      </c>
      <c r="CH96" s="55">
        <f t="shared" si="360"/>
        <v>-1</v>
      </c>
      <c r="CI96" s="29"/>
      <c r="CJ96" s="29"/>
      <c r="CK96" s="29">
        <f t="shared" si="389"/>
        <v>0</v>
      </c>
      <c r="CL96" s="29">
        <f t="shared" si="389"/>
        <v>0</v>
      </c>
      <c r="CM96" s="55">
        <f t="shared" si="362"/>
        <v>1</v>
      </c>
      <c r="CN96" s="55">
        <f t="shared" si="362"/>
        <v>-1</v>
      </c>
      <c r="CO96" s="29"/>
      <c r="CP96" s="29"/>
      <c r="CQ96" s="29">
        <f t="shared" si="390"/>
        <v>0</v>
      </c>
      <c r="CR96" s="29">
        <f t="shared" si="390"/>
        <v>0</v>
      </c>
      <c r="CS96" s="55">
        <f t="shared" si="364"/>
        <v>1</v>
      </c>
      <c r="CT96" s="55">
        <f t="shared" si="364"/>
        <v>-1</v>
      </c>
      <c r="CU96" s="29"/>
      <c r="CV96" s="29"/>
      <c r="CW96" s="29">
        <f t="shared" si="391"/>
        <v>0</v>
      </c>
      <c r="CX96" s="29">
        <f t="shared" si="391"/>
        <v>0</v>
      </c>
      <c r="CY96" s="55">
        <f t="shared" si="366"/>
        <v>1</v>
      </c>
      <c r="CZ96" s="55">
        <f t="shared" si="366"/>
        <v>-1</v>
      </c>
      <c r="DA96" s="29"/>
      <c r="DB96" s="29"/>
      <c r="DC96" s="29">
        <f t="shared" si="392"/>
        <v>0</v>
      </c>
      <c r="DD96" s="29">
        <f t="shared" si="392"/>
        <v>0</v>
      </c>
      <c r="DE96" s="55">
        <f t="shared" si="368"/>
        <v>1</v>
      </c>
      <c r="DF96" s="55">
        <f t="shared" si="368"/>
        <v>-1</v>
      </c>
      <c r="DG96" s="29"/>
      <c r="DH96" s="29"/>
      <c r="DI96" s="29">
        <f t="shared" si="393"/>
        <v>0</v>
      </c>
      <c r="DJ96" s="29">
        <f t="shared" si="393"/>
        <v>0</v>
      </c>
      <c r="DK96" s="55">
        <f t="shared" si="370"/>
        <v>1</v>
      </c>
      <c r="DL96" s="55">
        <f t="shared" si="370"/>
        <v>-1</v>
      </c>
      <c r="DM96" s="29"/>
      <c r="DN96" s="29"/>
      <c r="DO96" s="29"/>
      <c r="DP96" s="29"/>
      <c r="DQ96" s="29">
        <v>0</v>
      </c>
      <c r="DR96" s="29">
        <v>0</v>
      </c>
      <c r="DS96" s="55">
        <f>IF($AY$96=0,1,DQ96/$AY$96-1)</f>
        <v>1</v>
      </c>
      <c r="DT96" s="55">
        <f>IF($AZ$96=0,1,DR96/$AZ$96-1)</f>
        <v>1</v>
      </c>
      <c r="DU96" s="55">
        <f>IF($E$96=0,1,DQ96/$E$96-1)</f>
        <v>1</v>
      </c>
      <c r="DV96" s="55">
        <f>IF($E$96=0,1,DR96/$E$96-1)</f>
        <v>1</v>
      </c>
      <c r="DW96" s="2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25" customFormat="1" ht="44.25" customHeight="1">
      <c r="A97" s="313"/>
      <c r="B97" s="314"/>
      <c r="C97" s="313" t="s">
        <v>115</v>
      </c>
      <c r="D97" s="314"/>
      <c r="E97" s="313" t="s">
        <v>116</v>
      </c>
      <c r="F97" s="314"/>
      <c r="G97" s="313" t="s">
        <v>69</v>
      </c>
      <c r="H97" s="314"/>
      <c r="I97" s="313" t="s">
        <v>70</v>
      </c>
      <c r="J97" s="314"/>
      <c r="K97" s="313" t="str">
        <f>K6</f>
        <v>на 01.03.</v>
      </c>
      <c r="L97" s="314"/>
      <c r="M97" s="313" t="s">
        <v>14</v>
      </c>
      <c r="N97" s="314"/>
      <c r="O97" s="313" t="str">
        <f>O6</f>
        <v>на 01.04.</v>
      </c>
      <c r="P97" s="314"/>
      <c r="Q97" s="313" t="s">
        <v>137</v>
      </c>
      <c r="R97" s="314"/>
      <c r="S97" s="313" t="s">
        <v>137</v>
      </c>
      <c r="T97" s="314"/>
      <c r="U97" s="313" t="s">
        <v>138</v>
      </c>
      <c r="V97" s="314"/>
      <c r="W97" s="313" t="s">
        <v>138</v>
      </c>
      <c r="X97" s="314"/>
      <c r="Y97" s="313" t="s">
        <v>83</v>
      </c>
      <c r="Z97" s="314"/>
      <c r="AA97" s="313" t="s">
        <v>83</v>
      </c>
      <c r="AB97" s="314"/>
      <c r="AC97" s="313" t="s">
        <v>84</v>
      </c>
      <c r="AD97" s="314"/>
      <c r="AE97" s="313" t="s">
        <v>84</v>
      </c>
      <c r="AF97" s="314"/>
      <c r="AG97" s="313" t="s">
        <v>85</v>
      </c>
      <c r="AH97" s="314"/>
      <c r="AI97" s="313" t="s">
        <v>85</v>
      </c>
      <c r="AJ97" s="314"/>
      <c r="AK97" s="313" t="s">
        <v>86</v>
      </c>
      <c r="AL97" s="314"/>
      <c r="AM97" s="313" t="s">
        <v>86</v>
      </c>
      <c r="AN97" s="314"/>
      <c r="AO97" s="313" t="s">
        <v>87</v>
      </c>
      <c r="AP97" s="314"/>
      <c r="AQ97" s="313" t="s">
        <v>87</v>
      </c>
      <c r="AR97" s="314"/>
      <c r="AS97" s="313" t="s">
        <v>88</v>
      </c>
      <c r="AT97" s="314"/>
      <c r="AU97" s="313" t="s">
        <v>88</v>
      </c>
      <c r="AV97" s="314"/>
      <c r="AW97" s="313" t="s">
        <v>139</v>
      </c>
      <c r="AX97" s="314"/>
      <c r="AY97" s="313" t="s">
        <v>71</v>
      </c>
      <c r="AZ97" s="314"/>
      <c r="BA97" s="313"/>
      <c r="BB97" s="314"/>
      <c r="BC97" s="313" t="s">
        <v>69</v>
      </c>
      <c r="BD97" s="314"/>
      <c r="BE97" s="313" t="s">
        <v>70</v>
      </c>
      <c r="BF97" s="314"/>
      <c r="BG97" s="313" t="str">
        <f>BG6</f>
        <v>на 01.03.</v>
      </c>
      <c r="BH97" s="314"/>
      <c r="BI97" s="313" t="s">
        <v>14</v>
      </c>
      <c r="BJ97" s="314"/>
      <c r="BK97" s="313" t="str">
        <f>BK6</f>
        <v>март</v>
      </c>
      <c r="BL97" s="314"/>
      <c r="BM97" s="313" t="s">
        <v>137</v>
      </c>
      <c r="BN97" s="314"/>
      <c r="BO97" s="313" t="s">
        <v>137</v>
      </c>
      <c r="BP97" s="314"/>
      <c r="BQ97" s="313" t="s">
        <v>138</v>
      </c>
      <c r="BR97" s="314"/>
      <c r="BS97" s="313" t="s">
        <v>138</v>
      </c>
      <c r="BT97" s="314"/>
      <c r="BU97" s="313" t="s">
        <v>83</v>
      </c>
      <c r="BV97" s="314"/>
      <c r="BW97" s="313" t="s">
        <v>83</v>
      </c>
      <c r="BX97" s="314"/>
      <c r="BY97" s="313" t="s">
        <v>84</v>
      </c>
      <c r="BZ97" s="314"/>
      <c r="CA97" s="313" t="s">
        <v>84</v>
      </c>
      <c r="CB97" s="314"/>
      <c r="CC97" s="313" t="s">
        <v>85</v>
      </c>
      <c r="CD97" s="314"/>
      <c r="CE97" s="313" t="s">
        <v>85</v>
      </c>
      <c r="CF97" s="314"/>
      <c r="CG97" s="313" t="s">
        <v>86</v>
      </c>
      <c r="CH97" s="314"/>
      <c r="CI97" s="313" t="s">
        <v>86</v>
      </c>
      <c r="CJ97" s="314"/>
      <c r="CK97" s="313" t="s">
        <v>87</v>
      </c>
      <c r="CL97" s="314"/>
      <c r="CM97" s="313" t="s">
        <v>87</v>
      </c>
      <c r="CN97" s="314"/>
      <c r="CO97" s="313" t="s">
        <v>88</v>
      </c>
      <c r="CP97" s="314"/>
      <c r="CQ97" s="313" t="s">
        <v>88</v>
      </c>
      <c r="CR97" s="314"/>
      <c r="CS97" s="313" t="s">
        <v>139</v>
      </c>
      <c r="CT97" s="314"/>
      <c r="CU97" s="313" t="str">
        <f>CU6</f>
        <v>сентябрь</v>
      </c>
      <c r="CV97" s="314"/>
      <c r="CW97" s="122"/>
      <c r="CX97" s="122"/>
      <c r="CY97" s="313"/>
      <c r="CZ97" s="314"/>
      <c r="DA97" s="313" t="str">
        <f>DA6</f>
        <v>октябрь</v>
      </c>
      <c r="DB97" s="314"/>
      <c r="DC97" s="122"/>
      <c r="DD97" s="122"/>
      <c r="DE97" s="313"/>
      <c r="DF97" s="314"/>
      <c r="DG97" s="313" t="str">
        <f>DG6</f>
        <v>ноябрь</v>
      </c>
      <c r="DH97" s="314"/>
      <c r="DI97" s="122"/>
      <c r="DJ97" s="122"/>
      <c r="DK97" s="313"/>
      <c r="DL97" s="314"/>
      <c r="DM97" s="313" t="str">
        <f>DM6</f>
        <v>декабрь</v>
      </c>
      <c r="DN97" s="314"/>
      <c r="DO97" s="313"/>
      <c r="DP97" s="314"/>
      <c r="DQ97" s="315" t="s">
        <v>71</v>
      </c>
      <c r="DR97" s="316"/>
      <c r="DS97" s="313"/>
      <c r="DT97" s="314"/>
      <c r="DU97" s="313"/>
      <c r="DV97" s="314"/>
      <c r="DW97" s="123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/>
      <c r="GH97" s="124"/>
      <c r="GI97" s="124"/>
      <c r="GJ97" s="124"/>
      <c r="GK97" s="124"/>
      <c r="GL97" s="124"/>
      <c r="GM97" s="124"/>
      <c r="GN97" s="124"/>
      <c r="GO97" s="124"/>
      <c r="GP97" s="124"/>
      <c r="GQ97" s="124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124"/>
      <c r="HJ97" s="124"/>
      <c r="HK97" s="124"/>
      <c r="HL97" s="124"/>
      <c r="HM97" s="124"/>
      <c r="HN97" s="124"/>
      <c r="HO97" s="124"/>
      <c r="HP97" s="124"/>
      <c r="HQ97" s="124"/>
      <c r="HR97" s="124"/>
      <c r="HS97" s="124"/>
      <c r="HT97" s="124"/>
      <c r="HU97" s="124"/>
      <c r="HV97" s="124"/>
      <c r="HW97" s="124"/>
      <c r="HX97" s="124"/>
      <c r="HY97" s="124"/>
      <c r="HZ97" s="124"/>
      <c r="IA97" s="124"/>
      <c r="IB97" s="124"/>
      <c r="IC97" s="124"/>
      <c r="ID97" s="124"/>
      <c r="IE97" s="124"/>
      <c r="IF97" s="124"/>
      <c r="IG97" s="124"/>
      <c r="IH97" s="124"/>
      <c r="II97" s="124"/>
      <c r="IJ97" s="124"/>
      <c r="IK97" s="124"/>
      <c r="IL97" s="124"/>
      <c r="IM97" s="124"/>
      <c r="IN97" s="124"/>
      <c r="IO97" s="124"/>
      <c r="IP97" s="124"/>
      <c r="IQ97" s="124"/>
      <c r="IR97" s="124"/>
      <c r="IS97" s="124"/>
      <c r="IT97" s="124"/>
      <c r="IU97" s="124"/>
      <c r="IV97" s="124"/>
      <c r="IW97" s="124"/>
      <c r="IX97" s="124"/>
      <c r="IY97" s="124"/>
      <c r="IZ97" s="124"/>
      <c r="JA97" s="124"/>
      <c r="JB97" s="124"/>
      <c r="JC97" s="124"/>
      <c r="JD97" s="124"/>
      <c r="JE97" s="124"/>
      <c r="JF97" s="124"/>
      <c r="JG97" s="124"/>
      <c r="JH97" s="124"/>
    </row>
    <row r="98" spans="1:268" s="18" customFormat="1" ht="16.5">
      <c r="A98" s="224" t="s">
        <v>72</v>
      </c>
      <c r="B98" s="225"/>
      <c r="C98" s="17"/>
      <c r="D98" s="17"/>
      <c r="E98" s="17">
        <v>130322</v>
      </c>
      <c r="F98" s="17">
        <v>121295</v>
      </c>
      <c r="G98" s="17">
        <f>H98+1207.3+1050+607.6</f>
        <v>74682.900000000009</v>
      </c>
      <c r="H98" s="17">
        <v>71818</v>
      </c>
      <c r="I98" s="17">
        <f>G98+I67+I70</f>
        <v>72834.900000000009</v>
      </c>
      <c r="J98" s="17">
        <f>H98+J67+J70</f>
        <v>70320</v>
      </c>
      <c r="K98" s="17">
        <f>I98</f>
        <v>72834.900000000009</v>
      </c>
      <c r="L98" s="17">
        <f>J98</f>
        <v>70320</v>
      </c>
      <c r="M98" s="17">
        <f>N98+402.5+700+531.6</f>
        <v>70048.3</v>
      </c>
      <c r="N98" s="17">
        <v>68414.2</v>
      </c>
      <c r="O98" s="17">
        <f>M98</f>
        <v>70048.3</v>
      </c>
      <c r="P98" s="17">
        <f>N98</f>
        <v>68414.2</v>
      </c>
      <c r="Q98" s="17">
        <f>R98+200+531.6</f>
        <v>79891.3</v>
      </c>
      <c r="R98" s="17">
        <v>79159.7</v>
      </c>
      <c r="S98" s="17">
        <f>Q98</f>
        <v>79891.3</v>
      </c>
      <c r="T98" s="17">
        <f>R98</f>
        <v>79159.7</v>
      </c>
      <c r="U98" s="17">
        <f>V98+455.6</f>
        <v>78342.100000000006</v>
      </c>
      <c r="V98" s="17">
        <v>77886.5</v>
      </c>
      <c r="W98" s="17">
        <f>U98</f>
        <v>78342.100000000006</v>
      </c>
      <c r="X98" s="17">
        <f>V98</f>
        <v>77886.5</v>
      </c>
      <c r="Y98" s="17">
        <f>Z98+455.6+503.7</f>
        <v>97660</v>
      </c>
      <c r="Z98" s="17">
        <v>96700.7</v>
      </c>
      <c r="AA98" s="17">
        <f>Y98</f>
        <v>97660</v>
      </c>
      <c r="AB98" s="17">
        <f>Z98</f>
        <v>96700.7</v>
      </c>
      <c r="AC98" s="17">
        <f>AD98+500+379.6</f>
        <v>96402.200000000012</v>
      </c>
      <c r="AD98" s="17">
        <v>95522.6</v>
      </c>
      <c r="AE98" s="17">
        <f>AC98</f>
        <v>96402.200000000012</v>
      </c>
      <c r="AF98" s="17">
        <f>AD98</f>
        <v>95522.6</v>
      </c>
      <c r="AG98" s="17">
        <f>AH98+500+341.6</f>
        <v>95094.3</v>
      </c>
      <c r="AH98" s="17">
        <v>94252.7</v>
      </c>
      <c r="AI98" s="17">
        <f>AG98</f>
        <v>95094.3</v>
      </c>
      <c r="AJ98" s="17">
        <f>AH98</f>
        <v>94252.7</v>
      </c>
      <c r="AK98" s="17">
        <f>5000+500+303.6+AL98</f>
        <v>102709.90000000001</v>
      </c>
      <c r="AL98" s="17">
        <v>96906.3</v>
      </c>
      <c r="AM98" s="17">
        <f>AK98</f>
        <v>102709.90000000001</v>
      </c>
      <c r="AN98" s="17">
        <f>AL98</f>
        <v>96906.3</v>
      </c>
      <c r="AO98" s="17">
        <f>800+265.6+AP98+5000</f>
        <v>102987.70000000001</v>
      </c>
      <c r="AP98" s="17">
        <v>96922.1</v>
      </c>
      <c r="AQ98" s="17">
        <f>AO98</f>
        <v>102987.70000000001</v>
      </c>
      <c r="AR98" s="17">
        <f>AP98</f>
        <v>96922.1</v>
      </c>
      <c r="AS98" s="17">
        <f>AT98+5000+800+227.6</f>
        <v>102901.70000000001</v>
      </c>
      <c r="AT98" s="17">
        <v>96874.1</v>
      </c>
      <c r="AU98" s="17">
        <f>AS98</f>
        <v>102901.70000000001</v>
      </c>
      <c r="AV98" s="17">
        <f>AT98</f>
        <v>96874.1</v>
      </c>
      <c r="AW98" s="17">
        <f>AX98+227.6+800+8005</f>
        <v>131064.6</v>
      </c>
      <c r="AX98" s="17">
        <v>122032</v>
      </c>
      <c r="AY98" s="17">
        <v>132945</v>
      </c>
      <c r="AZ98" s="17">
        <v>113295</v>
      </c>
      <c r="BA98" s="19">
        <f>AY98/E98</f>
        <v>1.0201270698730835</v>
      </c>
      <c r="BB98" s="19">
        <f>AZ98/F98</f>
        <v>0.93404509666515523</v>
      </c>
      <c r="BC98" s="17">
        <f>E98+BC67-BC70</f>
        <v>130543</v>
      </c>
      <c r="BD98" s="17">
        <f>F98+BD67-BD70</f>
        <v>121516</v>
      </c>
      <c r="BE98" s="17">
        <f>BC98+BE67+BE70</f>
        <v>128574</v>
      </c>
      <c r="BF98" s="17">
        <f>BD98+BF67+BF70</f>
        <v>119547</v>
      </c>
      <c r="BG98" s="17">
        <f t="shared" ref="BG98:BH101" si="401">BE98</f>
        <v>128574</v>
      </c>
      <c r="BH98" s="17">
        <f t="shared" si="401"/>
        <v>119547</v>
      </c>
      <c r="BI98" s="19">
        <f t="shared" ref="BI98:BJ98" si="402">IF(K98=0,1,BG98/K98-1)</f>
        <v>0.76528010610298058</v>
      </c>
      <c r="BJ98" s="19">
        <f t="shared" si="402"/>
        <v>0.70004266211604094</v>
      </c>
      <c r="BK98" s="17">
        <f>BI98+BK67+BK70</f>
        <v>31081.765280106101</v>
      </c>
      <c r="BL98" s="17">
        <f t="shared" ref="BL98" si="403">BJ98+BL67+BL70</f>
        <v>-2418.2999573378838</v>
      </c>
      <c r="BM98" s="17">
        <f>BK98</f>
        <v>31081.765280106101</v>
      </c>
      <c r="BN98" s="17">
        <f>BL98</f>
        <v>-2418.2999573378838</v>
      </c>
      <c r="BO98" s="19">
        <f>BM98/O98</f>
        <v>0.44371905214125251</v>
      </c>
      <c r="BP98" s="19">
        <f>BN98/P98</f>
        <v>-3.534792422242581E-2</v>
      </c>
      <c r="BQ98" s="17">
        <f>BM98+BQ67+BQ70</f>
        <v>31081.765280106101</v>
      </c>
      <c r="BR98" s="17">
        <f>BN98+BR67+BR70</f>
        <v>-2418.2999573378838</v>
      </c>
      <c r="BS98" s="17">
        <f>BQ98</f>
        <v>31081.765280106101</v>
      </c>
      <c r="BT98" s="17">
        <f>BR98</f>
        <v>-2418.2999573378838</v>
      </c>
      <c r="BU98" s="19">
        <f>BS98/S98</f>
        <v>0.38905068862449477</v>
      </c>
      <c r="BV98" s="19">
        <f>BT98/T98</f>
        <v>-3.0549635197428537E-2</v>
      </c>
      <c r="BW98" s="17">
        <f>BS98+BW67+BW70</f>
        <v>31081.765280106101</v>
      </c>
      <c r="BX98" s="17">
        <f>BT98+BX67+BX70</f>
        <v>-2418.2999573378838</v>
      </c>
      <c r="BY98" s="17">
        <f>BW98</f>
        <v>31081.765280106101</v>
      </c>
      <c r="BZ98" s="17">
        <f>BX98</f>
        <v>-2418.2999573378838</v>
      </c>
      <c r="CA98" s="19">
        <f>BY98/W98</f>
        <v>0.39674409136474642</v>
      </c>
      <c r="CB98" s="19">
        <f>BZ98/X98</f>
        <v>-3.1049025920254266E-2</v>
      </c>
      <c r="CC98" s="17">
        <f>BY98+CC67+CC70</f>
        <v>31081.765280106101</v>
      </c>
      <c r="CD98" s="17">
        <f>BZ98+CD67+CD70</f>
        <v>-2418.2999573378838</v>
      </c>
      <c r="CE98" s="17">
        <f>CC98</f>
        <v>31081.765280106101</v>
      </c>
      <c r="CF98" s="17">
        <f>CD98</f>
        <v>-2418.2999573378838</v>
      </c>
      <c r="CG98" s="19">
        <f>CE98/AA98</f>
        <v>0.318265055090171</v>
      </c>
      <c r="CH98" s="19">
        <f>CF98/AB98</f>
        <v>-2.5008091537474741E-2</v>
      </c>
      <c r="CI98" s="17">
        <f>CE98+CI67+CI70</f>
        <v>31081.765280106101</v>
      </c>
      <c r="CJ98" s="17">
        <f>CF98+CJ67+CJ70</f>
        <v>-2418.2999573378838</v>
      </c>
      <c r="CK98" s="17">
        <f>CI98</f>
        <v>31081.765280106101</v>
      </c>
      <c r="CL98" s="17">
        <f>CJ98</f>
        <v>-2418.2999573378838</v>
      </c>
      <c r="CM98" s="19">
        <f>CK98/AE98</f>
        <v>0.32241759296059735</v>
      </c>
      <c r="CN98" s="19">
        <f>CL98/AF98</f>
        <v>-2.5316521507348876E-2</v>
      </c>
      <c r="CO98" s="17">
        <f>CK98+CO67+CO70</f>
        <v>31081.765280106101</v>
      </c>
      <c r="CP98" s="17">
        <f>CL98+CP67+CP70</f>
        <v>-2418.2999573378838</v>
      </c>
      <c r="CQ98" s="17">
        <f>CO98</f>
        <v>31081.765280106101</v>
      </c>
      <c r="CR98" s="17">
        <f>CP98</f>
        <v>-2418.2999573378838</v>
      </c>
      <c r="CS98" s="19">
        <f>CQ98/AI98</f>
        <v>0.32685203298311361</v>
      </c>
      <c r="CT98" s="19">
        <f>CR98/AJ98</f>
        <v>-2.5657619965665533E-2</v>
      </c>
      <c r="CU98" s="17">
        <f>CQ98+CU67+CU70</f>
        <v>31081.765280106101</v>
      </c>
      <c r="CV98" s="17">
        <f>CR98+CV67+CV70</f>
        <v>-2418.2999573378838</v>
      </c>
      <c r="CW98" s="17">
        <f>CU98</f>
        <v>31081.765280106101</v>
      </c>
      <c r="CX98" s="17">
        <f>CV98</f>
        <v>-2418.2999573378838</v>
      </c>
      <c r="CY98" s="19">
        <f>CW98/AM98</f>
        <v>0.30261703380205901</v>
      </c>
      <c r="CZ98" s="19">
        <f>CX98/AN98</f>
        <v>-2.4955033443005085E-2</v>
      </c>
      <c r="DA98" s="17">
        <f>CW98+DA67+DA70</f>
        <v>31081.765280106101</v>
      </c>
      <c r="DB98" s="17">
        <f>CX98+DB67+DB70</f>
        <v>-2418.2999573378838</v>
      </c>
      <c r="DC98" s="17">
        <f>DA98</f>
        <v>31081.765280106101</v>
      </c>
      <c r="DD98" s="17">
        <f>DB98</f>
        <v>-2418.2999573378838</v>
      </c>
      <c r="DE98" s="19">
        <f>DC98/AQ98</f>
        <v>0.30180075174128657</v>
      </c>
      <c r="DF98" s="19">
        <f>DD98/AR98</f>
        <v>-2.495096533543829E-2</v>
      </c>
      <c r="DG98" s="17">
        <f>DC98+DG67+DG70</f>
        <v>31081.765280106101</v>
      </c>
      <c r="DH98" s="17">
        <f>DD98+DH67+DH70</f>
        <v>-2418.2999573378838</v>
      </c>
      <c r="DI98" s="17">
        <f>DG98</f>
        <v>31081.765280106101</v>
      </c>
      <c r="DJ98" s="17">
        <f>DH98</f>
        <v>-2418.2999573378838</v>
      </c>
      <c r="DK98" s="19">
        <f>DI98/AU98</f>
        <v>0.3020529814386555</v>
      </c>
      <c r="DL98" s="19">
        <f>DJ98/AV98</f>
        <v>-2.4963328251182554E-2</v>
      </c>
      <c r="DM98" s="17">
        <f>DI98+DM67+DM70</f>
        <v>31081.765280106101</v>
      </c>
      <c r="DN98" s="17">
        <f>DJ98+DN67+DN70</f>
        <v>-2418.2999573378838</v>
      </c>
      <c r="DO98" s="19"/>
      <c r="DP98" s="19"/>
      <c r="DQ98" s="38">
        <f>E98+DQ67+DQ70</f>
        <v>156872</v>
      </c>
      <c r="DR98" s="38">
        <f>F98+DR67+DR70</f>
        <v>137795</v>
      </c>
      <c r="DS98" s="19">
        <f>DQ98/$AY$98</f>
        <v>1.1799766820865771</v>
      </c>
      <c r="DT98" s="19">
        <f>DR98/$AZ$98</f>
        <v>1.2162496138399752</v>
      </c>
      <c r="DU98" s="19">
        <f>DQ98/$E$98</f>
        <v>1.2037261552155429</v>
      </c>
      <c r="DV98" s="19">
        <f>DR98/$E$98</f>
        <v>1.0573425822194258</v>
      </c>
      <c r="DW98" s="84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</row>
    <row r="99" spans="1:268" s="79" customFormat="1" ht="15.75" customHeight="1">
      <c r="A99" s="311" t="s">
        <v>73</v>
      </c>
      <c r="B99" s="312"/>
      <c r="C99" s="54">
        <f>C98/(C9-C11)</f>
        <v>0</v>
      </c>
      <c r="D99" s="54">
        <f>D98/(D9-D11)</f>
        <v>0</v>
      </c>
      <c r="E99" s="54">
        <f>E98/(E9-E11)</f>
        <v>0.32412788131013109</v>
      </c>
      <c r="F99" s="54">
        <f>F98/(F9-F11)</f>
        <v>0.40089158261532881</v>
      </c>
      <c r="G99" s="54" t="s">
        <v>51</v>
      </c>
      <c r="H99" s="54" t="s">
        <v>51</v>
      </c>
      <c r="I99" s="54" t="s">
        <v>51</v>
      </c>
      <c r="J99" s="54" t="s">
        <v>51</v>
      </c>
      <c r="K99" s="54" t="s">
        <v>51</v>
      </c>
      <c r="L99" s="54" t="s">
        <v>51</v>
      </c>
      <c r="M99" s="54" t="s">
        <v>51</v>
      </c>
      <c r="N99" s="54" t="s">
        <v>51</v>
      </c>
      <c r="O99" s="54" t="s">
        <v>51</v>
      </c>
      <c r="P99" s="54" t="s">
        <v>51</v>
      </c>
      <c r="Q99" s="54" t="s">
        <v>51</v>
      </c>
      <c r="R99" s="54" t="s">
        <v>51</v>
      </c>
      <c r="S99" s="54" t="s">
        <v>51</v>
      </c>
      <c r="T99" s="54" t="s">
        <v>51</v>
      </c>
      <c r="U99" s="54" t="s">
        <v>51</v>
      </c>
      <c r="V99" s="54" t="s">
        <v>51</v>
      </c>
      <c r="W99" s="54" t="s">
        <v>51</v>
      </c>
      <c r="X99" s="54" t="s">
        <v>51</v>
      </c>
      <c r="Y99" s="54" t="s">
        <v>51</v>
      </c>
      <c r="Z99" s="54" t="s">
        <v>51</v>
      </c>
      <c r="AA99" s="54" t="s">
        <v>51</v>
      </c>
      <c r="AB99" s="54" t="s">
        <v>51</v>
      </c>
      <c r="AC99" s="54" t="s">
        <v>51</v>
      </c>
      <c r="AD99" s="54" t="s">
        <v>51</v>
      </c>
      <c r="AE99" s="54" t="s">
        <v>51</v>
      </c>
      <c r="AF99" s="54" t="s">
        <v>51</v>
      </c>
      <c r="AG99" s="54" t="s">
        <v>51</v>
      </c>
      <c r="AH99" s="54" t="s">
        <v>51</v>
      </c>
      <c r="AI99" s="54" t="s">
        <v>51</v>
      </c>
      <c r="AJ99" s="54" t="s">
        <v>51</v>
      </c>
      <c r="AK99" s="54" t="s">
        <v>51</v>
      </c>
      <c r="AL99" s="54" t="s">
        <v>51</v>
      </c>
      <c r="AM99" s="54" t="s">
        <v>51</v>
      </c>
      <c r="AN99" s="54" t="s">
        <v>51</v>
      </c>
      <c r="AO99" s="54" t="s">
        <v>51</v>
      </c>
      <c r="AP99" s="54" t="s">
        <v>51</v>
      </c>
      <c r="AQ99" s="54" t="s">
        <v>51</v>
      </c>
      <c r="AR99" s="54" t="s">
        <v>51</v>
      </c>
      <c r="AS99" s="54" t="s">
        <v>51</v>
      </c>
      <c r="AT99" s="54" t="s">
        <v>51</v>
      </c>
      <c r="AU99" s="54" t="s">
        <v>51</v>
      </c>
      <c r="AV99" s="54" t="s">
        <v>51</v>
      </c>
      <c r="AW99" s="54" t="s">
        <v>51</v>
      </c>
      <c r="AX99" s="54" t="s">
        <v>51</v>
      </c>
      <c r="AY99" s="54">
        <f>AY98/(AY8-AY11-AY26)</f>
        <v>0.2893063293716045</v>
      </c>
      <c r="AZ99" s="54">
        <f>AZ98/(AZ8-AZ11-AZ26)</f>
        <v>0.33305835364112174</v>
      </c>
      <c r="BA99" s="54" t="s">
        <v>51</v>
      </c>
      <c r="BB99" s="54" t="s">
        <v>51</v>
      </c>
      <c r="BC99" s="54">
        <f>BC98/($AY$9-$AY$11)</f>
        <v>0.28407925198508688</v>
      </c>
      <c r="BD99" s="54">
        <f>BD98/($AY$9-$AY$11)</f>
        <v>0.26443527714408138</v>
      </c>
      <c r="BE99" s="54">
        <f>BE98/($AY$9-$AY$11)</f>
        <v>0.27979444125483982</v>
      </c>
      <c r="BF99" s="54">
        <f>BF98/($AZ$9-$AZ$11)</f>
        <v>0.35143763628346514</v>
      </c>
      <c r="BG99" s="54">
        <f t="shared" si="401"/>
        <v>0.27979444125483982</v>
      </c>
      <c r="BH99" s="54">
        <f t="shared" si="401"/>
        <v>0.35143763628346514</v>
      </c>
      <c r="BI99" s="54" t="s">
        <v>51</v>
      </c>
      <c r="BJ99" s="54" t="s">
        <v>51</v>
      </c>
      <c r="BK99" s="54">
        <f>BK98/($AY$9-$AY$11)</f>
        <v>6.7638131735509255E-2</v>
      </c>
      <c r="BL99" s="54">
        <f>BL98/($AZ$9-$AZ$11)</f>
        <v>-7.1091840098976176E-3</v>
      </c>
      <c r="BM99" s="54" t="s">
        <v>51</v>
      </c>
      <c r="BN99" s="54" t="s">
        <v>51</v>
      </c>
      <c r="BO99" s="54" t="s">
        <v>51</v>
      </c>
      <c r="BP99" s="54" t="s">
        <v>51</v>
      </c>
      <c r="BQ99" s="54">
        <f>BQ98/($AY$9-$AY$11)</f>
        <v>6.7638131735509255E-2</v>
      </c>
      <c r="BR99" s="54">
        <f>BR98/($AZ$9-$AZ$11)</f>
        <v>-7.1091840098976176E-3</v>
      </c>
      <c r="BS99" s="54" t="s">
        <v>51</v>
      </c>
      <c r="BT99" s="54" t="s">
        <v>51</v>
      </c>
      <c r="BU99" s="54" t="s">
        <v>51</v>
      </c>
      <c r="BV99" s="54" t="s">
        <v>51</v>
      </c>
      <c r="BW99" s="54">
        <f>BW98/($AY$9-$AY$11)</f>
        <v>6.7638131735509255E-2</v>
      </c>
      <c r="BX99" s="54">
        <f>BX98/($AZ$9-$AZ$11)</f>
        <v>-7.1091840098976176E-3</v>
      </c>
      <c r="BY99" s="54" t="s">
        <v>51</v>
      </c>
      <c r="BZ99" s="54" t="s">
        <v>51</v>
      </c>
      <c r="CA99" s="54" t="s">
        <v>51</v>
      </c>
      <c r="CB99" s="54" t="s">
        <v>51</v>
      </c>
      <c r="CC99" s="54">
        <f>CC98/($AY$9-$AY$11)</f>
        <v>6.7638131735509255E-2</v>
      </c>
      <c r="CD99" s="54">
        <f>CD98/($AZ$9-$AZ$11)</f>
        <v>-7.1091840098976176E-3</v>
      </c>
      <c r="CE99" s="54" t="s">
        <v>51</v>
      </c>
      <c r="CF99" s="54" t="s">
        <v>51</v>
      </c>
      <c r="CG99" s="54" t="s">
        <v>51</v>
      </c>
      <c r="CH99" s="54" t="s">
        <v>51</v>
      </c>
      <c r="CI99" s="54">
        <f>CI98/($AY$9-$AY$11)</f>
        <v>6.7638131735509255E-2</v>
      </c>
      <c r="CJ99" s="54">
        <f>CJ98/($AZ$9-$AZ$11)</f>
        <v>-7.1091840098976176E-3</v>
      </c>
      <c r="CK99" s="54" t="s">
        <v>51</v>
      </c>
      <c r="CL99" s="54" t="s">
        <v>51</v>
      </c>
      <c r="CM99" s="54" t="s">
        <v>51</v>
      </c>
      <c r="CN99" s="54" t="s">
        <v>51</v>
      </c>
      <c r="CO99" s="54">
        <f>CO98/($AY$9-$AY$11)</f>
        <v>6.7638131735509255E-2</v>
      </c>
      <c r="CP99" s="54">
        <f>CP98/($AZ$9-$AZ$11)</f>
        <v>-7.1091840098976176E-3</v>
      </c>
      <c r="CQ99" s="54" t="s">
        <v>51</v>
      </c>
      <c r="CR99" s="54" t="s">
        <v>51</v>
      </c>
      <c r="CS99" s="54" t="s">
        <v>51</v>
      </c>
      <c r="CT99" s="54" t="s">
        <v>51</v>
      </c>
      <c r="CU99" s="54">
        <f>CU98/($AY$9-$AY$11)</f>
        <v>6.7638131735509255E-2</v>
      </c>
      <c r="CV99" s="54">
        <f>CV98/($AZ$9-$AZ$11)</f>
        <v>-7.1091840098976176E-3</v>
      </c>
      <c r="CW99" s="54" t="s">
        <v>51</v>
      </c>
      <c r="CX99" s="54" t="s">
        <v>51</v>
      </c>
      <c r="CY99" s="54" t="s">
        <v>51</v>
      </c>
      <c r="CZ99" s="54" t="s">
        <v>51</v>
      </c>
      <c r="DA99" s="54">
        <f>DA98/($AY$9-$AY$11)</f>
        <v>6.7638131735509255E-2</v>
      </c>
      <c r="DB99" s="54">
        <f>DB98/($AZ$9-$AZ$11)</f>
        <v>-7.1091840098976176E-3</v>
      </c>
      <c r="DC99" s="54" t="s">
        <v>51</v>
      </c>
      <c r="DD99" s="54" t="s">
        <v>51</v>
      </c>
      <c r="DE99" s="54" t="s">
        <v>51</v>
      </c>
      <c r="DF99" s="54" t="s">
        <v>51</v>
      </c>
      <c r="DG99" s="54">
        <f>DG98/($AY$9-$AY$11)</f>
        <v>6.7638131735509255E-2</v>
      </c>
      <c r="DH99" s="54">
        <f>DH98/($AZ$9-$AZ$11)</f>
        <v>-7.1091840098976176E-3</v>
      </c>
      <c r="DI99" s="54" t="s">
        <v>51</v>
      </c>
      <c r="DJ99" s="54" t="s">
        <v>51</v>
      </c>
      <c r="DK99" s="54" t="s">
        <v>51</v>
      </c>
      <c r="DL99" s="54" t="s">
        <v>51</v>
      </c>
      <c r="DM99" s="54">
        <f>DM98/($AY$9-$AY$11)</f>
        <v>6.7638131735509255E-2</v>
      </c>
      <c r="DN99" s="54">
        <f>DN98/($AZ$9-$AZ$11)</f>
        <v>-7.1091840098976176E-3</v>
      </c>
      <c r="DO99" s="54">
        <f>DO98/($AY$9-$AY$11)</f>
        <v>0</v>
      </c>
      <c r="DP99" s="54">
        <f>DP98/($AZ$9-$AZ$11)</f>
        <v>0</v>
      </c>
      <c r="DQ99" s="54">
        <f>DQ98/(DQ9-DQ11)</f>
        <v>0.392737432767784</v>
      </c>
      <c r="DR99" s="54">
        <f>DR98/(DR9-DR11)</f>
        <v>0.48494221074261479</v>
      </c>
      <c r="DS99" s="54" t="s">
        <v>51</v>
      </c>
      <c r="DT99" s="54" t="s">
        <v>51</v>
      </c>
      <c r="DU99" s="54" t="s">
        <v>51</v>
      </c>
      <c r="DV99" s="54" t="s">
        <v>51</v>
      </c>
      <c r="DW99" s="121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</row>
    <row r="100" spans="1:268" s="85" customFormat="1" ht="36.75" customHeight="1">
      <c r="A100" s="224" t="s">
        <v>74</v>
      </c>
      <c r="B100" s="225"/>
      <c r="C100" s="17">
        <f>'[1]прогноз '!B92</f>
        <v>0</v>
      </c>
      <c r="D100" s="17">
        <f>'[1]прогноз '!C92</f>
        <v>0</v>
      </c>
      <c r="E100" s="17">
        <f>[2]Консолид.!$J$23/1000</f>
        <v>19330.999820000001</v>
      </c>
      <c r="F100" s="17">
        <f>[2]районы!$H$23/1000</f>
        <v>15818.17261</v>
      </c>
      <c r="G100" s="17">
        <v>27212</v>
      </c>
      <c r="H100" s="17">
        <v>23450</v>
      </c>
      <c r="I100" s="17">
        <v>14932</v>
      </c>
      <c r="J100" s="17">
        <v>11299</v>
      </c>
      <c r="K100" s="17">
        <f>I100</f>
        <v>14932</v>
      </c>
      <c r="L100" s="17">
        <f>J100</f>
        <v>11299</v>
      </c>
      <c r="M100" s="17">
        <v>26472</v>
      </c>
      <c r="N100" s="17">
        <v>22845</v>
      </c>
      <c r="O100" s="17">
        <f>M100</f>
        <v>26472</v>
      </c>
      <c r="P100" s="17">
        <f>N100</f>
        <v>22845</v>
      </c>
      <c r="Q100" s="17">
        <v>21981.7</v>
      </c>
      <c r="R100" s="17">
        <v>18291.8</v>
      </c>
      <c r="S100" s="17">
        <f>Q100</f>
        <v>21981.7</v>
      </c>
      <c r="T100" s="17">
        <f>R100</f>
        <v>18291.8</v>
      </c>
      <c r="U100" s="17">
        <v>25113</v>
      </c>
      <c r="V100" s="17">
        <v>21336.1</v>
      </c>
      <c r="W100" s="17">
        <f>U100</f>
        <v>25113</v>
      </c>
      <c r="X100" s="17">
        <f>V100</f>
        <v>21336.1</v>
      </c>
      <c r="Y100" s="17">
        <v>15656</v>
      </c>
      <c r="Z100" s="17">
        <v>12044.3</v>
      </c>
      <c r="AA100" s="17">
        <f>Y100</f>
        <v>15656</v>
      </c>
      <c r="AB100" s="17">
        <f>Z100</f>
        <v>12044.3</v>
      </c>
      <c r="AC100" s="17">
        <v>15179.9</v>
      </c>
      <c r="AD100" s="17">
        <v>11709.5</v>
      </c>
      <c r="AE100" s="17">
        <f>AC100</f>
        <v>15179.9</v>
      </c>
      <c r="AF100" s="17">
        <f>AD100</f>
        <v>11709.5</v>
      </c>
      <c r="AG100" s="17">
        <v>19905.900000000001</v>
      </c>
      <c r="AH100" s="17">
        <v>16414.2</v>
      </c>
      <c r="AI100" s="17">
        <f>AG100</f>
        <v>19905.900000000001</v>
      </c>
      <c r="AJ100" s="17">
        <f>AH100</f>
        <v>16414.2</v>
      </c>
      <c r="AK100" s="17">
        <v>14053</v>
      </c>
      <c r="AL100" s="17">
        <v>10561.3</v>
      </c>
      <c r="AM100" s="17">
        <f>AK100</f>
        <v>14053</v>
      </c>
      <c r="AN100" s="17">
        <f>AL100</f>
        <v>10561.3</v>
      </c>
      <c r="AO100" s="17">
        <v>12691.8</v>
      </c>
      <c r="AP100" s="17">
        <v>9200.1</v>
      </c>
      <c r="AQ100" s="17">
        <f>AO100</f>
        <v>12691.8</v>
      </c>
      <c r="AR100" s="17">
        <f>AP100</f>
        <v>9200.1</v>
      </c>
      <c r="AS100" s="17">
        <v>17624.900000000001</v>
      </c>
      <c r="AT100" s="17">
        <v>14133.5</v>
      </c>
      <c r="AU100" s="17">
        <f>AS100</f>
        <v>17624.900000000001</v>
      </c>
      <c r="AV100" s="17">
        <f>AT100</f>
        <v>14133.5</v>
      </c>
      <c r="AW100" s="17">
        <v>20479</v>
      </c>
      <c r="AX100" s="17">
        <v>16299</v>
      </c>
      <c r="AY100" s="17" t="s">
        <v>51</v>
      </c>
      <c r="AZ100" s="17" t="s">
        <v>51</v>
      </c>
      <c r="BA100" s="19" t="s">
        <v>51</v>
      </c>
      <c r="BB100" s="19" t="s">
        <v>51</v>
      </c>
      <c r="BC100" s="17">
        <v>23232.5</v>
      </c>
      <c r="BD100" s="17">
        <v>19719.7</v>
      </c>
      <c r="BE100" s="17">
        <v>21905.9</v>
      </c>
      <c r="BF100" s="17">
        <v>18393.099999999999</v>
      </c>
      <c r="BG100" s="17">
        <f t="shared" si="401"/>
        <v>21905.9</v>
      </c>
      <c r="BH100" s="17">
        <f t="shared" si="401"/>
        <v>18393.099999999999</v>
      </c>
      <c r="BI100" s="19" t="s">
        <v>51</v>
      </c>
      <c r="BJ100" s="19" t="s">
        <v>51</v>
      </c>
      <c r="BK100" s="17"/>
      <c r="BL100" s="97">
        <v>23460</v>
      </c>
      <c r="BM100" s="17">
        <f>BK100</f>
        <v>0</v>
      </c>
      <c r="BN100" s="17">
        <f>BL100</f>
        <v>23460</v>
      </c>
      <c r="BO100" s="19" t="s">
        <v>51</v>
      </c>
      <c r="BP100" s="19" t="s">
        <v>51</v>
      </c>
      <c r="BQ100" s="17"/>
      <c r="BR100" s="17"/>
      <c r="BS100" s="17">
        <f>BQ100</f>
        <v>0</v>
      </c>
      <c r="BT100" s="17">
        <f>BR100</f>
        <v>0</v>
      </c>
      <c r="BU100" s="19" t="s">
        <v>51</v>
      </c>
      <c r="BV100" s="19" t="s">
        <v>51</v>
      </c>
      <c r="BW100" s="17"/>
      <c r="BX100" s="17"/>
      <c r="BY100" s="17">
        <f>BW100</f>
        <v>0</v>
      </c>
      <c r="BZ100" s="17">
        <f>BX100</f>
        <v>0</v>
      </c>
      <c r="CA100" s="19" t="s">
        <v>51</v>
      </c>
      <c r="CB100" s="19" t="s">
        <v>51</v>
      </c>
      <c r="CC100" s="17"/>
      <c r="CD100" s="17"/>
      <c r="CE100" s="17">
        <f>CC100</f>
        <v>0</v>
      </c>
      <c r="CF100" s="17">
        <f>CD100</f>
        <v>0</v>
      </c>
      <c r="CG100" s="19" t="s">
        <v>51</v>
      </c>
      <c r="CH100" s="19" t="s">
        <v>51</v>
      </c>
      <c r="CI100" s="17"/>
      <c r="CJ100" s="17"/>
      <c r="CK100" s="17">
        <f>CI100</f>
        <v>0</v>
      </c>
      <c r="CL100" s="17">
        <f>CJ100</f>
        <v>0</v>
      </c>
      <c r="CM100" s="19" t="s">
        <v>51</v>
      </c>
      <c r="CN100" s="19" t="s">
        <v>51</v>
      </c>
      <c r="CO100" s="17"/>
      <c r="CP100" s="17"/>
      <c r="CQ100" s="17">
        <f>CO100</f>
        <v>0</v>
      </c>
      <c r="CR100" s="17">
        <f>CP100</f>
        <v>0</v>
      </c>
      <c r="CS100" s="19" t="s">
        <v>51</v>
      </c>
      <c r="CT100" s="19" t="s">
        <v>51</v>
      </c>
      <c r="CU100" s="17"/>
      <c r="CV100" s="17"/>
      <c r="CW100" s="17">
        <f>CU100</f>
        <v>0</v>
      </c>
      <c r="CX100" s="17">
        <f>CV100</f>
        <v>0</v>
      </c>
      <c r="CY100" s="19" t="s">
        <v>51</v>
      </c>
      <c r="CZ100" s="19" t="s">
        <v>51</v>
      </c>
      <c r="DA100" s="17"/>
      <c r="DB100" s="17"/>
      <c r="DC100" s="17">
        <f>DA100</f>
        <v>0</v>
      </c>
      <c r="DD100" s="17">
        <f>DB100</f>
        <v>0</v>
      </c>
      <c r="DE100" s="19" t="s">
        <v>51</v>
      </c>
      <c r="DF100" s="19" t="s">
        <v>51</v>
      </c>
      <c r="DG100" s="17"/>
      <c r="DH100" s="17"/>
      <c r="DI100" s="17">
        <f>DG100</f>
        <v>0</v>
      </c>
      <c r="DJ100" s="17">
        <f>DH100</f>
        <v>0</v>
      </c>
      <c r="DK100" s="19" t="s">
        <v>51</v>
      </c>
      <c r="DL100" s="19" t="s">
        <v>51</v>
      </c>
      <c r="DM100" s="17"/>
      <c r="DN100" s="17"/>
      <c r="DO100" s="19"/>
      <c r="DP100" s="19"/>
      <c r="DQ100" s="38">
        <v>14335.4</v>
      </c>
      <c r="DR100" s="38">
        <v>10155.4</v>
      </c>
      <c r="DS100" s="19" t="s">
        <v>51</v>
      </c>
      <c r="DT100" s="19" t="s">
        <v>51</v>
      </c>
      <c r="DU100" s="19" t="s">
        <v>51</v>
      </c>
      <c r="DV100" s="19" t="s">
        <v>51</v>
      </c>
      <c r="DW100" s="37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</row>
    <row r="101" spans="1:268" s="66" customFormat="1" ht="16.5">
      <c r="A101" s="307" t="s">
        <v>75</v>
      </c>
      <c r="B101" s="308"/>
      <c r="C101" s="39">
        <f>'[1]прогноз '!B93</f>
        <v>0</v>
      </c>
      <c r="D101" s="39">
        <f>'[1]прогноз '!C93</f>
        <v>0</v>
      </c>
      <c r="E101" s="39">
        <v>0</v>
      </c>
      <c r="F101" s="39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f>I101</f>
        <v>0</v>
      </c>
      <c r="L101" s="40">
        <f>J101</f>
        <v>0</v>
      </c>
      <c r="M101" s="40">
        <v>0</v>
      </c>
      <c r="N101" s="40">
        <v>0</v>
      </c>
      <c r="O101" s="40">
        <f>M101</f>
        <v>0</v>
      </c>
      <c r="P101" s="40">
        <f>N101</f>
        <v>0</v>
      </c>
      <c r="Q101" s="40">
        <v>0</v>
      </c>
      <c r="R101" s="40">
        <v>0</v>
      </c>
      <c r="S101" s="40">
        <f>Q101</f>
        <v>0</v>
      </c>
      <c r="T101" s="40">
        <f>R101</f>
        <v>0</v>
      </c>
      <c r="U101" s="40">
        <v>0</v>
      </c>
      <c r="V101" s="40">
        <v>0</v>
      </c>
      <c r="W101" s="40">
        <f>U101</f>
        <v>0</v>
      </c>
      <c r="X101" s="40">
        <f>V101</f>
        <v>0</v>
      </c>
      <c r="Y101" s="40">
        <v>0</v>
      </c>
      <c r="Z101" s="40">
        <v>0</v>
      </c>
      <c r="AA101" s="40">
        <f>Y101</f>
        <v>0</v>
      </c>
      <c r="AB101" s="40">
        <f>Z101</f>
        <v>0</v>
      </c>
      <c r="AC101" s="40">
        <v>0</v>
      </c>
      <c r="AD101" s="40">
        <v>0</v>
      </c>
      <c r="AE101" s="40">
        <f>AC101</f>
        <v>0</v>
      </c>
      <c r="AF101" s="40">
        <f>AD101</f>
        <v>0</v>
      </c>
      <c r="AG101" s="40">
        <v>0</v>
      </c>
      <c r="AH101" s="40">
        <v>0</v>
      </c>
      <c r="AI101" s="40">
        <f>AG101</f>
        <v>0</v>
      </c>
      <c r="AJ101" s="40">
        <f>AH101</f>
        <v>0</v>
      </c>
      <c r="AK101" s="40">
        <v>0</v>
      </c>
      <c r="AL101" s="40">
        <v>0</v>
      </c>
      <c r="AM101" s="40">
        <f>AK101</f>
        <v>0</v>
      </c>
      <c r="AN101" s="40">
        <f>AL101</f>
        <v>0</v>
      </c>
      <c r="AO101" s="40">
        <v>0</v>
      </c>
      <c r="AP101" s="40">
        <v>0</v>
      </c>
      <c r="AQ101" s="40">
        <f>AO101</f>
        <v>0</v>
      </c>
      <c r="AR101" s="40">
        <f>AP101</f>
        <v>0</v>
      </c>
      <c r="AS101" s="41">
        <v>0</v>
      </c>
      <c r="AT101" s="41">
        <v>0</v>
      </c>
      <c r="AU101" s="40">
        <f>AS101</f>
        <v>0</v>
      </c>
      <c r="AV101" s="40">
        <f>AT101</f>
        <v>0</v>
      </c>
      <c r="AW101" s="41">
        <v>0</v>
      </c>
      <c r="AX101" s="41">
        <v>0</v>
      </c>
      <c r="AY101" s="39" t="s">
        <v>51</v>
      </c>
      <c r="AZ101" s="39" t="s">
        <v>51</v>
      </c>
      <c r="BA101" s="24" t="s">
        <v>51</v>
      </c>
      <c r="BB101" s="24" t="s">
        <v>51</v>
      </c>
      <c r="BC101" s="42">
        <v>0</v>
      </c>
      <c r="BD101" s="42">
        <v>0</v>
      </c>
      <c r="BE101" s="42">
        <v>0</v>
      </c>
      <c r="BF101" s="42">
        <v>0</v>
      </c>
      <c r="BG101" s="40">
        <f t="shared" si="401"/>
        <v>0</v>
      </c>
      <c r="BH101" s="40">
        <f t="shared" si="401"/>
        <v>0</v>
      </c>
      <c r="BI101" s="24" t="s">
        <v>51</v>
      </c>
      <c r="BJ101" s="24" t="s">
        <v>51</v>
      </c>
      <c r="BK101" s="40">
        <v>0</v>
      </c>
      <c r="BL101" s="98">
        <v>0</v>
      </c>
      <c r="BM101" s="40">
        <f>BK101</f>
        <v>0</v>
      </c>
      <c r="BN101" s="40">
        <f>BL101</f>
        <v>0</v>
      </c>
      <c r="BO101" s="24" t="s">
        <v>51</v>
      </c>
      <c r="BP101" s="24" t="s">
        <v>51</v>
      </c>
      <c r="BQ101" s="40"/>
      <c r="BR101" s="40"/>
      <c r="BS101" s="40">
        <f>BQ101</f>
        <v>0</v>
      </c>
      <c r="BT101" s="40">
        <f>BR101</f>
        <v>0</v>
      </c>
      <c r="BU101" s="24" t="s">
        <v>51</v>
      </c>
      <c r="BV101" s="24" t="s">
        <v>51</v>
      </c>
      <c r="BW101" s="40"/>
      <c r="BX101" s="40"/>
      <c r="BY101" s="40">
        <f>BW101</f>
        <v>0</v>
      </c>
      <c r="BZ101" s="40">
        <f>BX101</f>
        <v>0</v>
      </c>
      <c r="CA101" s="24" t="s">
        <v>51</v>
      </c>
      <c r="CB101" s="24" t="s">
        <v>51</v>
      </c>
      <c r="CC101" s="40"/>
      <c r="CD101" s="40"/>
      <c r="CE101" s="40">
        <f>CC101</f>
        <v>0</v>
      </c>
      <c r="CF101" s="40">
        <f>CD101</f>
        <v>0</v>
      </c>
      <c r="CG101" s="24" t="s">
        <v>51</v>
      </c>
      <c r="CH101" s="24" t="s">
        <v>51</v>
      </c>
      <c r="CI101" s="40"/>
      <c r="CJ101" s="40"/>
      <c r="CK101" s="40">
        <f>CI101</f>
        <v>0</v>
      </c>
      <c r="CL101" s="40">
        <f>CJ101</f>
        <v>0</v>
      </c>
      <c r="CM101" s="24" t="s">
        <v>51</v>
      </c>
      <c r="CN101" s="24" t="s">
        <v>51</v>
      </c>
      <c r="CO101" s="40"/>
      <c r="CP101" s="40"/>
      <c r="CQ101" s="40">
        <f>CO101</f>
        <v>0</v>
      </c>
      <c r="CR101" s="40">
        <f>CP101</f>
        <v>0</v>
      </c>
      <c r="CS101" s="24" t="s">
        <v>51</v>
      </c>
      <c r="CT101" s="24" t="s">
        <v>51</v>
      </c>
      <c r="CU101" s="40"/>
      <c r="CV101" s="40"/>
      <c r="CW101" s="40">
        <f>CU101</f>
        <v>0</v>
      </c>
      <c r="CX101" s="40">
        <f>CV101</f>
        <v>0</v>
      </c>
      <c r="CY101" s="24" t="s">
        <v>51</v>
      </c>
      <c r="CZ101" s="24" t="s">
        <v>51</v>
      </c>
      <c r="DA101" s="40"/>
      <c r="DB101" s="40"/>
      <c r="DC101" s="40">
        <f>DA101</f>
        <v>0</v>
      </c>
      <c r="DD101" s="40">
        <f>DB101</f>
        <v>0</v>
      </c>
      <c r="DE101" s="24" t="s">
        <v>51</v>
      </c>
      <c r="DF101" s="24" t="s">
        <v>51</v>
      </c>
      <c r="DG101" s="40"/>
      <c r="DH101" s="40"/>
      <c r="DI101" s="40">
        <f>DG101</f>
        <v>0</v>
      </c>
      <c r="DJ101" s="40">
        <f>DH101</f>
        <v>0</v>
      </c>
      <c r="DK101" s="24" t="s">
        <v>51</v>
      </c>
      <c r="DL101" s="24" t="s">
        <v>51</v>
      </c>
      <c r="DM101" s="40"/>
      <c r="DN101" s="40"/>
      <c r="DO101" s="40"/>
      <c r="DP101" s="40"/>
      <c r="DQ101" s="40">
        <v>0</v>
      </c>
      <c r="DR101" s="40">
        <v>0</v>
      </c>
      <c r="DS101" s="24" t="s">
        <v>51</v>
      </c>
      <c r="DT101" s="24" t="s">
        <v>51</v>
      </c>
      <c r="DU101" s="24" t="s">
        <v>51</v>
      </c>
      <c r="DV101" s="24" t="s">
        <v>51</v>
      </c>
      <c r="DW101" s="43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</row>
    <row r="102" spans="1:268" s="66" customFormat="1" ht="18.75" customHeight="1">
      <c r="A102" s="307" t="s">
        <v>76</v>
      </c>
      <c r="B102" s="308"/>
      <c r="C102" s="39">
        <f>'[1]прогноз '!B94</f>
        <v>0</v>
      </c>
      <c r="D102" s="39">
        <f>'[1]прогноз '!C94</f>
        <v>0</v>
      </c>
      <c r="E102" s="39">
        <f>[2]Консолид.!$AJ$23/1000</f>
        <v>0</v>
      </c>
      <c r="F102" s="39">
        <f>[2]районы!$X$23/1000</f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f t="shared" ref="K102:L110" si="404">I102</f>
        <v>0</v>
      </c>
      <c r="L102" s="40">
        <f t="shared" si="404"/>
        <v>0</v>
      </c>
      <c r="M102" s="40">
        <v>0</v>
      </c>
      <c r="N102" s="40">
        <v>0</v>
      </c>
      <c r="O102" s="40">
        <f t="shared" ref="O102:P110" si="405">M102</f>
        <v>0</v>
      </c>
      <c r="P102" s="40">
        <f t="shared" si="405"/>
        <v>0</v>
      </c>
      <c r="Q102" s="40">
        <v>0</v>
      </c>
      <c r="R102" s="40">
        <v>0</v>
      </c>
      <c r="S102" s="40">
        <f t="shared" ref="S102:T110" si="406">Q102</f>
        <v>0</v>
      </c>
      <c r="T102" s="40">
        <f t="shared" si="406"/>
        <v>0</v>
      </c>
      <c r="U102" s="40">
        <v>0</v>
      </c>
      <c r="V102" s="40">
        <v>0</v>
      </c>
      <c r="W102" s="40">
        <f t="shared" ref="W102:X110" si="407">U102</f>
        <v>0</v>
      </c>
      <c r="X102" s="40">
        <f t="shared" si="407"/>
        <v>0</v>
      </c>
      <c r="Y102" s="40">
        <v>0</v>
      </c>
      <c r="Z102" s="40">
        <v>0</v>
      </c>
      <c r="AA102" s="40">
        <f t="shared" ref="AA102:AB110" si="408">Y102</f>
        <v>0</v>
      </c>
      <c r="AB102" s="40">
        <f t="shared" si="408"/>
        <v>0</v>
      </c>
      <c r="AC102" s="40">
        <v>0</v>
      </c>
      <c r="AD102" s="40">
        <v>0</v>
      </c>
      <c r="AE102" s="40">
        <f t="shared" ref="AE102:AF110" si="409">AC102</f>
        <v>0</v>
      </c>
      <c r="AF102" s="40">
        <f t="shared" si="409"/>
        <v>0</v>
      </c>
      <c r="AG102" s="40">
        <v>0</v>
      </c>
      <c r="AH102" s="40">
        <v>0</v>
      </c>
      <c r="AI102" s="40">
        <f t="shared" ref="AI102:AJ110" si="410">AG102</f>
        <v>0</v>
      </c>
      <c r="AJ102" s="40">
        <f t="shared" si="410"/>
        <v>0</v>
      </c>
      <c r="AK102" s="40">
        <v>0</v>
      </c>
      <c r="AL102" s="40">
        <v>0</v>
      </c>
      <c r="AM102" s="40">
        <f t="shared" ref="AM102:AN110" si="411">AK102</f>
        <v>0</v>
      </c>
      <c r="AN102" s="40">
        <f t="shared" si="411"/>
        <v>0</v>
      </c>
      <c r="AO102" s="40">
        <v>0</v>
      </c>
      <c r="AP102" s="40">
        <v>0</v>
      </c>
      <c r="AQ102" s="40">
        <f t="shared" ref="AQ102:AR110" si="412">AO102</f>
        <v>0</v>
      </c>
      <c r="AR102" s="40">
        <f t="shared" si="412"/>
        <v>0</v>
      </c>
      <c r="AS102" s="41">
        <v>0</v>
      </c>
      <c r="AT102" s="41">
        <v>0</v>
      </c>
      <c r="AU102" s="40">
        <f t="shared" ref="AU102:AV110" si="413">AS102</f>
        <v>0</v>
      </c>
      <c r="AV102" s="40">
        <f t="shared" si="413"/>
        <v>0</v>
      </c>
      <c r="AW102" s="41">
        <v>0</v>
      </c>
      <c r="AX102" s="41">
        <v>0</v>
      </c>
      <c r="AY102" s="39" t="s">
        <v>51</v>
      </c>
      <c r="AZ102" s="39" t="s">
        <v>51</v>
      </c>
      <c r="BA102" s="24" t="s">
        <v>51</v>
      </c>
      <c r="BB102" s="24" t="s">
        <v>51</v>
      </c>
      <c r="BC102" s="42">
        <v>0</v>
      </c>
      <c r="BD102" s="42">
        <v>0</v>
      </c>
      <c r="BE102" s="42">
        <v>0</v>
      </c>
      <c r="BF102" s="42">
        <v>0</v>
      </c>
      <c r="BG102" s="40">
        <f t="shared" ref="BG102:BH110" si="414">BE102</f>
        <v>0</v>
      </c>
      <c r="BH102" s="40">
        <f t="shared" si="414"/>
        <v>0</v>
      </c>
      <c r="BI102" s="24" t="s">
        <v>51</v>
      </c>
      <c r="BJ102" s="24" t="s">
        <v>51</v>
      </c>
      <c r="BK102" s="40">
        <v>0</v>
      </c>
      <c r="BL102" s="98">
        <v>0</v>
      </c>
      <c r="BM102" s="40">
        <f t="shared" ref="BM102:BN110" si="415">BK102</f>
        <v>0</v>
      </c>
      <c r="BN102" s="40">
        <f t="shared" si="415"/>
        <v>0</v>
      </c>
      <c r="BO102" s="24" t="s">
        <v>51</v>
      </c>
      <c r="BP102" s="24" t="s">
        <v>51</v>
      </c>
      <c r="BQ102" s="40"/>
      <c r="BR102" s="40"/>
      <c r="BS102" s="40">
        <f t="shared" ref="BS102:BT110" si="416">BQ102</f>
        <v>0</v>
      </c>
      <c r="BT102" s="40">
        <f t="shared" si="416"/>
        <v>0</v>
      </c>
      <c r="BU102" s="24" t="s">
        <v>51</v>
      </c>
      <c r="BV102" s="24" t="s">
        <v>51</v>
      </c>
      <c r="BW102" s="40"/>
      <c r="BX102" s="40"/>
      <c r="BY102" s="40">
        <f t="shared" ref="BY102:BZ110" si="417">BW102</f>
        <v>0</v>
      </c>
      <c r="BZ102" s="40">
        <f t="shared" si="417"/>
        <v>0</v>
      </c>
      <c r="CA102" s="24" t="s">
        <v>51</v>
      </c>
      <c r="CB102" s="24" t="s">
        <v>51</v>
      </c>
      <c r="CC102" s="40"/>
      <c r="CD102" s="40"/>
      <c r="CE102" s="40">
        <f t="shared" ref="CE102:CF110" si="418">CC102</f>
        <v>0</v>
      </c>
      <c r="CF102" s="40">
        <f t="shared" si="418"/>
        <v>0</v>
      </c>
      <c r="CG102" s="24" t="s">
        <v>51</v>
      </c>
      <c r="CH102" s="24" t="s">
        <v>51</v>
      </c>
      <c r="CI102" s="40"/>
      <c r="CJ102" s="40"/>
      <c r="CK102" s="40">
        <f t="shared" ref="CK102:CL110" si="419">CI102</f>
        <v>0</v>
      </c>
      <c r="CL102" s="40">
        <f t="shared" si="419"/>
        <v>0</v>
      </c>
      <c r="CM102" s="24" t="s">
        <v>51</v>
      </c>
      <c r="CN102" s="24" t="s">
        <v>51</v>
      </c>
      <c r="CO102" s="40"/>
      <c r="CP102" s="40"/>
      <c r="CQ102" s="40">
        <f t="shared" ref="CQ102:CR110" si="420">CO102</f>
        <v>0</v>
      </c>
      <c r="CR102" s="40">
        <f t="shared" si="420"/>
        <v>0</v>
      </c>
      <c r="CS102" s="24" t="s">
        <v>51</v>
      </c>
      <c r="CT102" s="24" t="s">
        <v>51</v>
      </c>
      <c r="CU102" s="40"/>
      <c r="CV102" s="40"/>
      <c r="CW102" s="40">
        <f t="shared" ref="CW102:CX110" si="421">CU102</f>
        <v>0</v>
      </c>
      <c r="CX102" s="40">
        <f t="shared" si="421"/>
        <v>0</v>
      </c>
      <c r="CY102" s="24" t="s">
        <v>51</v>
      </c>
      <c r="CZ102" s="24" t="s">
        <v>51</v>
      </c>
      <c r="DA102" s="40"/>
      <c r="DB102" s="40"/>
      <c r="DC102" s="40">
        <f t="shared" ref="DC102:DD110" si="422">DA102</f>
        <v>0</v>
      </c>
      <c r="DD102" s="40">
        <f t="shared" si="422"/>
        <v>0</v>
      </c>
      <c r="DE102" s="24" t="s">
        <v>51</v>
      </c>
      <c r="DF102" s="24" t="s">
        <v>51</v>
      </c>
      <c r="DG102" s="40"/>
      <c r="DH102" s="40"/>
      <c r="DI102" s="40">
        <f t="shared" ref="DI102:DJ110" si="423">DG102</f>
        <v>0</v>
      </c>
      <c r="DJ102" s="40">
        <f t="shared" si="423"/>
        <v>0</v>
      </c>
      <c r="DK102" s="24" t="s">
        <v>51</v>
      </c>
      <c r="DL102" s="24" t="s">
        <v>51</v>
      </c>
      <c r="DM102" s="40"/>
      <c r="DN102" s="40"/>
      <c r="DO102" s="40"/>
      <c r="DP102" s="40"/>
      <c r="DQ102" s="40">
        <v>0</v>
      </c>
      <c r="DR102" s="40">
        <v>0</v>
      </c>
      <c r="DS102" s="24" t="s">
        <v>51</v>
      </c>
      <c r="DT102" s="24" t="s">
        <v>51</v>
      </c>
      <c r="DU102" s="24" t="s">
        <v>51</v>
      </c>
      <c r="DV102" s="24" t="s">
        <v>51</v>
      </c>
      <c r="DW102" s="43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</row>
    <row r="103" spans="1:268" s="66" customFormat="1" ht="18.75" customHeight="1">
      <c r="A103" s="307" t="s">
        <v>129</v>
      </c>
      <c r="B103" s="308"/>
      <c r="C103" s="42">
        <f>'[1]прогноз '!B95</f>
        <v>0</v>
      </c>
      <c r="D103" s="42">
        <f>'[1]прогноз '!C95</f>
        <v>0</v>
      </c>
      <c r="E103" s="42">
        <f>[2]Консолид.!$AZ$23/1000</f>
        <v>4834.90985</v>
      </c>
      <c r="F103" s="42">
        <f>[2]районы!$AN$23/1000</f>
        <v>4834.90985</v>
      </c>
      <c r="G103" s="30">
        <v>11478.1</v>
      </c>
      <c r="H103" s="30">
        <v>11478.1</v>
      </c>
      <c r="I103" s="30">
        <v>0</v>
      </c>
      <c r="J103" s="30">
        <v>0</v>
      </c>
      <c r="K103" s="30">
        <f t="shared" si="404"/>
        <v>0</v>
      </c>
      <c r="L103" s="30">
        <f t="shared" si="404"/>
        <v>0</v>
      </c>
      <c r="M103" s="30">
        <v>11904</v>
      </c>
      <c r="N103" s="30">
        <v>11904</v>
      </c>
      <c r="O103" s="30">
        <f t="shared" si="405"/>
        <v>11904</v>
      </c>
      <c r="P103" s="30">
        <f t="shared" si="405"/>
        <v>11904</v>
      </c>
      <c r="Q103" s="30">
        <v>7477.5</v>
      </c>
      <c r="R103" s="30">
        <v>7477.5</v>
      </c>
      <c r="S103" s="30">
        <f t="shared" si="406"/>
        <v>7477.5</v>
      </c>
      <c r="T103" s="30">
        <f t="shared" si="406"/>
        <v>7477.5</v>
      </c>
      <c r="U103" s="30">
        <v>11593.1</v>
      </c>
      <c r="V103" s="30">
        <v>11593.1</v>
      </c>
      <c r="W103" s="30">
        <f t="shared" si="407"/>
        <v>11593.1</v>
      </c>
      <c r="X103" s="30">
        <f t="shared" si="407"/>
        <v>11593.1</v>
      </c>
      <c r="Y103" s="30">
        <v>0</v>
      </c>
      <c r="Z103" s="30">
        <v>0</v>
      </c>
      <c r="AA103" s="30">
        <f t="shared" si="408"/>
        <v>0</v>
      </c>
      <c r="AB103" s="30">
        <f t="shared" si="408"/>
        <v>0</v>
      </c>
      <c r="AC103" s="30">
        <v>0</v>
      </c>
      <c r="AD103" s="30">
        <v>0</v>
      </c>
      <c r="AE103" s="30">
        <f t="shared" si="409"/>
        <v>0</v>
      </c>
      <c r="AF103" s="30">
        <f t="shared" si="409"/>
        <v>0</v>
      </c>
      <c r="AG103" s="30">
        <v>221.5</v>
      </c>
      <c r="AH103" s="30">
        <v>0</v>
      </c>
      <c r="AI103" s="30">
        <f t="shared" si="410"/>
        <v>221.5</v>
      </c>
      <c r="AJ103" s="30">
        <f t="shared" si="410"/>
        <v>0</v>
      </c>
      <c r="AK103" s="30">
        <v>0</v>
      </c>
      <c r="AL103" s="30">
        <v>0</v>
      </c>
      <c r="AM103" s="30">
        <f t="shared" si="411"/>
        <v>0</v>
      </c>
      <c r="AN103" s="30">
        <f t="shared" si="411"/>
        <v>0</v>
      </c>
      <c r="AO103" s="30">
        <v>0</v>
      </c>
      <c r="AP103" s="30">
        <v>0</v>
      </c>
      <c r="AQ103" s="30">
        <f t="shared" si="412"/>
        <v>0</v>
      </c>
      <c r="AR103" s="30">
        <f t="shared" si="412"/>
        <v>0</v>
      </c>
      <c r="AS103" s="40">
        <v>3894</v>
      </c>
      <c r="AT103" s="40">
        <v>3894</v>
      </c>
      <c r="AU103" s="30">
        <f t="shared" si="413"/>
        <v>3894</v>
      </c>
      <c r="AV103" s="30">
        <f t="shared" si="413"/>
        <v>3894</v>
      </c>
      <c r="AW103" s="40">
        <v>4834.8999999999996</v>
      </c>
      <c r="AX103" s="40">
        <v>4834.8999999999996</v>
      </c>
      <c r="AY103" s="42" t="s">
        <v>51</v>
      </c>
      <c r="AZ103" s="42" t="s">
        <v>51</v>
      </c>
      <c r="BA103" s="24" t="s">
        <v>51</v>
      </c>
      <c r="BB103" s="24" t="s">
        <v>51</v>
      </c>
      <c r="BC103" s="29">
        <v>5212.6000000000004</v>
      </c>
      <c r="BD103" s="29">
        <v>5212.6000000000004</v>
      </c>
      <c r="BE103" s="29">
        <v>6047.3</v>
      </c>
      <c r="BF103" s="29">
        <v>6047.3</v>
      </c>
      <c r="BG103" s="30">
        <f t="shared" si="414"/>
        <v>6047.3</v>
      </c>
      <c r="BH103" s="30">
        <f t="shared" si="414"/>
        <v>6047.3</v>
      </c>
      <c r="BI103" s="24" t="s">
        <v>51</v>
      </c>
      <c r="BJ103" s="24" t="s">
        <v>51</v>
      </c>
      <c r="BK103" s="30">
        <v>0</v>
      </c>
      <c r="BL103" s="98">
        <v>11294.1</v>
      </c>
      <c r="BM103" s="30">
        <f t="shared" si="415"/>
        <v>0</v>
      </c>
      <c r="BN103" s="30">
        <f t="shared" si="415"/>
        <v>11294.1</v>
      </c>
      <c r="BO103" s="24" t="s">
        <v>51</v>
      </c>
      <c r="BP103" s="24" t="s">
        <v>51</v>
      </c>
      <c r="BQ103" s="30"/>
      <c r="BR103" s="30"/>
      <c r="BS103" s="30">
        <f t="shared" si="416"/>
        <v>0</v>
      </c>
      <c r="BT103" s="30">
        <f t="shared" si="416"/>
        <v>0</v>
      </c>
      <c r="BU103" s="24" t="s">
        <v>51</v>
      </c>
      <c r="BV103" s="24" t="s">
        <v>51</v>
      </c>
      <c r="BW103" s="30"/>
      <c r="BX103" s="30"/>
      <c r="BY103" s="30">
        <f t="shared" si="417"/>
        <v>0</v>
      </c>
      <c r="BZ103" s="30">
        <f t="shared" si="417"/>
        <v>0</v>
      </c>
      <c r="CA103" s="24" t="s">
        <v>51</v>
      </c>
      <c r="CB103" s="24" t="s">
        <v>51</v>
      </c>
      <c r="CC103" s="30"/>
      <c r="CD103" s="30"/>
      <c r="CE103" s="30">
        <f t="shared" si="418"/>
        <v>0</v>
      </c>
      <c r="CF103" s="30">
        <f t="shared" si="418"/>
        <v>0</v>
      </c>
      <c r="CG103" s="24" t="s">
        <v>51</v>
      </c>
      <c r="CH103" s="24" t="s">
        <v>51</v>
      </c>
      <c r="CI103" s="30"/>
      <c r="CJ103" s="30"/>
      <c r="CK103" s="30">
        <f t="shared" si="419"/>
        <v>0</v>
      </c>
      <c r="CL103" s="30">
        <f t="shared" si="419"/>
        <v>0</v>
      </c>
      <c r="CM103" s="24" t="s">
        <v>51</v>
      </c>
      <c r="CN103" s="24" t="s">
        <v>51</v>
      </c>
      <c r="CO103" s="30"/>
      <c r="CP103" s="30"/>
      <c r="CQ103" s="30">
        <f t="shared" si="420"/>
        <v>0</v>
      </c>
      <c r="CR103" s="30">
        <f t="shared" si="420"/>
        <v>0</v>
      </c>
      <c r="CS103" s="24" t="s">
        <v>51</v>
      </c>
      <c r="CT103" s="24" t="s">
        <v>51</v>
      </c>
      <c r="CU103" s="30"/>
      <c r="CV103" s="30"/>
      <c r="CW103" s="30">
        <f t="shared" si="421"/>
        <v>0</v>
      </c>
      <c r="CX103" s="30">
        <f t="shared" si="421"/>
        <v>0</v>
      </c>
      <c r="CY103" s="24" t="s">
        <v>51</v>
      </c>
      <c r="CZ103" s="24" t="s">
        <v>51</v>
      </c>
      <c r="DA103" s="30"/>
      <c r="DB103" s="30"/>
      <c r="DC103" s="30">
        <f t="shared" si="422"/>
        <v>0</v>
      </c>
      <c r="DD103" s="30">
        <f t="shared" si="422"/>
        <v>0</v>
      </c>
      <c r="DE103" s="24" t="s">
        <v>51</v>
      </c>
      <c r="DF103" s="24" t="s">
        <v>51</v>
      </c>
      <c r="DG103" s="30"/>
      <c r="DH103" s="30"/>
      <c r="DI103" s="30">
        <f t="shared" si="423"/>
        <v>0</v>
      </c>
      <c r="DJ103" s="30">
        <f t="shared" si="423"/>
        <v>0</v>
      </c>
      <c r="DK103" s="24" t="s">
        <v>51</v>
      </c>
      <c r="DL103" s="24" t="s">
        <v>51</v>
      </c>
      <c r="DM103" s="30"/>
      <c r="DN103" s="30"/>
      <c r="DO103" s="30"/>
      <c r="DP103" s="30"/>
      <c r="DQ103" s="30">
        <v>4300</v>
      </c>
      <c r="DR103" s="30">
        <v>4300</v>
      </c>
      <c r="DS103" s="24" t="s">
        <v>51</v>
      </c>
      <c r="DT103" s="24" t="s">
        <v>51</v>
      </c>
      <c r="DU103" s="24" t="s">
        <v>51</v>
      </c>
      <c r="DV103" s="24" t="s">
        <v>51</v>
      </c>
      <c r="DW103" s="43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</row>
    <row r="104" spans="1:268" s="87" customFormat="1" ht="35.25" customHeight="1">
      <c r="A104" s="224" t="s">
        <v>77</v>
      </c>
      <c r="B104" s="225"/>
      <c r="C104" s="17">
        <f>'[1]прогноз '!B96</f>
        <v>0</v>
      </c>
      <c r="D104" s="17">
        <f>'[1]прогноз '!C96</f>
        <v>0</v>
      </c>
      <c r="E104" s="17">
        <f>[2]Консолид.!$M$23/1000</f>
        <v>271.12049999999999</v>
      </c>
      <c r="F104" s="17">
        <f>[2]районы!$J$23/1000</f>
        <v>271.12049999999999</v>
      </c>
      <c r="G104" s="17">
        <v>887</v>
      </c>
      <c r="H104" s="17">
        <v>799</v>
      </c>
      <c r="I104" s="17">
        <v>237</v>
      </c>
      <c r="J104" s="17">
        <v>28</v>
      </c>
      <c r="K104" s="17">
        <f t="shared" si="404"/>
        <v>237</v>
      </c>
      <c r="L104" s="17">
        <f t="shared" si="404"/>
        <v>28</v>
      </c>
      <c r="M104" s="17">
        <v>1726</v>
      </c>
      <c r="N104" s="17">
        <v>1463</v>
      </c>
      <c r="O104" s="17">
        <f t="shared" si="405"/>
        <v>1726</v>
      </c>
      <c r="P104" s="17">
        <f t="shared" si="405"/>
        <v>1463</v>
      </c>
      <c r="Q104" s="17">
        <v>669.4</v>
      </c>
      <c r="R104" s="17">
        <v>669.4</v>
      </c>
      <c r="S104" s="17">
        <f t="shared" si="406"/>
        <v>669.4</v>
      </c>
      <c r="T104" s="17">
        <f t="shared" si="406"/>
        <v>669.4</v>
      </c>
      <c r="U104" s="17">
        <v>1490</v>
      </c>
      <c r="V104" s="17">
        <v>1131.3</v>
      </c>
      <c r="W104" s="17">
        <f t="shared" si="407"/>
        <v>1490</v>
      </c>
      <c r="X104" s="17">
        <f t="shared" si="407"/>
        <v>1131.3</v>
      </c>
      <c r="Y104" s="17">
        <v>217.8</v>
      </c>
      <c r="Z104" s="17">
        <v>0</v>
      </c>
      <c r="AA104" s="17">
        <f t="shared" si="408"/>
        <v>217.8</v>
      </c>
      <c r="AB104" s="17">
        <f t="shared" si="408"/>
        <v>0</v>
      </c>
      <c r="AC104" s="17">
        <v>117.8</v>
      </c>
      <c r="AD104" s="17">
        <v>0</v>
      </c>
      <c r="AE104" s="17">
        <f t="shared" si="409"/>
        <v>117.8</v>
      </c>
      <c r="AF104" s="17">
        <f t="shared" si="409"/>
        <v>0</v>
      </c>
      <c r="AG104" s="17">
        <v>228.4</v>
      </c>
      <c r="AH104" s="17">
        <v>0</v>
      </c>
      <c r="AI104" s="17">
        <f t="shared" si="410"/>
        <v>228.4</v>
      </c>
      <c r="AJ104" s="17">
        <f t="shared" si="410"/>
        <v>0</v>
      </c>
      <c r="AK104" s="17">
        <v>183.4</v>
      </c>
      <c r="AL104" s="17">
        <v>0</v>
      </c>
      <c r="AM104" s="17">
        <f t="shared" si="411"/>
        <v>183.4</v>
      </c>
      <c r="AN104" s="17">
        <f t="shared" si="411"/>
        <v>0</v>
      </c>
      <c r="AO104" s="17">
        <v>0</v>
      </c>
      <c r="AP104" s="17">
        <v>0</v>
      </c>
      <c r="AQ104" s="17">
        <f t="shared" si="412"/>
        <v>0</v>
      </c>
      <c r="AR104" s="17">
        <f t="shared" si="412"/>
        <v>0</v>
      </c>
      <c r="AS104" s="17">
        <v>216.7</v>
      </c>
      <c r="AT104" s="17">
        <v>216.7</v>
      </c>
      <c r="AU104" s="17">
        <f t="shared" si="413"/>
        <v>216.7</v>
      </c>
      <c r="AV104" s="17">
        <f t="shared" si="413"/>
        <v>216.7</v>
      </c>
      <c r="AW104" s="17">
        <v>67.099999999999994</v>
      </c>
      <c r="AX104" s="17">
        <v>67.099999999999994</v>
      </c>
      <c r="AY104" s="17" t="s">
        <v>51</v>
      </c>
      <c r="AZ104" s="17" t="s">
        <v>51</v>
      </c>
      <c r="BA104" s="20" t="s">
        <v>51</v>
      </c>
      <c r="BB104" s="20" t="s">
        <v>51</v>
      </c>
      <c r="BC104" s="17"/>
      <c r="BD104" s="17">
        <v>0</v>
      </c>
      <c r="BE104" s="17"/>
      <c r="BF104" s="17">
        <v>0</v>
      </c>
      <c r="BG104" s="17">
        <f t="shared" si="414"/>
        <v>0</v>
      </c>
      <c r="BH104" s="17">
        <f t="shared" si="414"/>
        <v>0</v>
      </c>
      <c r="BI104" s="20" t="s">
        <v>51</v>
      </c>
      <c r="BJ104" s="20" t="s">
        <v>51</v>
      </c>
      <c r="BK104" s="17"/>
      <c r="BL104" s="99">
        <v>0</v>
      </c>
      <c r="BM104" s="17">
        <f t="shared" si="415"/>
        <v>0</v>
      </c>
      <c r="BN104" s="17">
        <f t="shared" si="415"/>
        <v>0</v>
      </c>
      <c r="BO104" s="20" t="s">
        <v>51</v>
      </c>
      <c r="BP104" s="20" t="s">
        <v>51</v>
      </c>
      <c r="BQ104" s="17"/>
      <c r="BR104" s="17"/>
      <c r="BS104" s="17">
        <f t="shared" si="416"/>
        <v>0</v>
      </c>
      <c r="BT104" s="17">
        <f t="shared" si="416"/>
        <v>0</v>
      </c>
      <c r="BU104" s="20" t="s">
        <v>51</v>
      </c>
      <c r="BV104" s="20" t="s">
        <v>51</v>
      </c>
      <c r="BW104" s="17"/>
      <c r="BX104" s="17"/>
      <c r="BY104" s="17">
        <f t="shared" si="417"/>
        <v>0</v>
      </c>
      <c r="BZ104" s="17">
        <f t="shared" si="417"/>
        <v>0</v>
      </c>
      <c r="CA104" s="20" t="s">
        <v>51</v>
      </c>
      <c r="CB104" s="20" t="s">
        <v>51</v>
      </c>
      <c r="CC104" s="17"/>
      <c r="CD104" s="17"/>
      <c r="CE104" s="17">
        <f t="shared" si="418"/>
        <v>0</v>
      </c>
      <c r="CF104" s="17">
        <f t="shared" si="418"/>
        <v>0</v>
      </c>
      <c r="CG104" s="20" t="s">
        <v>51</v>
      </c>
      <c r="CH104" s="20" t="s">
        <v>51</v>
      </c>
      <c r="CI104" s="17"/>
      <c r="CJ104" s="17"/>
      <c r="CK104" s="17">
        <f t="shared" si="419"/>
        <v>0</v>
      </c>
      <c r="CL104" s="17">
        <f t="shared" si="419"/>
        <v>0</v>
      </c>
      <c r="CM104" s="20" t="s">
        <v>51</v>
      </c>
      <c r="CN104" s="20" t="s">
        <v>51</v>
      </c>
      <c r="CO104" s="17"/>
      <c r="CP104" s="17"/>
      <c r="CQ104" s="17">
        <f t="shared" si="420"/>
        <v>0</v>
      </c>
      <c r="CR104" s="17">
        <f t="shared" si="420"/>
        <v>0</v>
      </c>
      <c r="CS104" s="20" t="s">
        <v>51</v>
      </c>
      <c r="CT104" s="20" t="s">
        <v>51</v>
      </c>
      <c r="CU104" s="17"/>
      <c r="CV104" s="17"/>
      <c r="CW104" s="17">
        <f t="shared" si="421"/>
        <v>0</v>
      </c>
      <c r="CX104" s="17">
        <f t="shared" si="421"/>
        <v>0</v>
      </c>
      <c r="CY104" s="20" t="s">
        <v>51</v>
      </c>
      <c r="CZ104" s="20" t="s">
        <v>51</v>
      </c>
      <c r="DA104" s="17"/>
      <c r="DB104" s="17"/>
      <c r="DC104" s="17">
        <f t="shared" si="422"/>
        <v>0</v>
      </c>
      <c r="DD104" s="17">
        <f t="shared" si="422"/>
        <v>0</v>
      </c>
      <c r="DE104" s="20" t="s">
        <v>51</v>
      </c>
      <c r="DF104" s="20" t="s">
        <v>51</v>
      </c>
      <c r="DG104" s="17"/>
      <c r="DH104" s="17"/>
      <c r="DI104" s="17">
        <f t="shared" si="423"/>
        <v>0</v>
      </c>
      <c r="DJ104" s="17">
        <f t="shared" si="423"/>
        <v>0</v>
      </c>
      <c r="DK104" s="20" t="s">
        <v>51</v>
      </c>
      <c r="DL104" s="20" t="s">
        <v>51</v>
      </c>
      <c r="DM104" s="17"/>
      <c r="DN104" s="17"/>
      <c r="DO104" s="17"/>
      <c r="DP104" s="17"/>
      <c r="DQ104" s="17">
        <v>0</v>
      </c>
      <c r="DR104" s="17"/>
      <c r="DS104" s="20" t="s">
        <v>51</v>
      </c>
      <c r="DT104" s="20" t="s">
        <v>51</v>
      </c>
      <c r="DU104" s="20" t="s">
        <v>51</v>
      </c>
      <c r="DV104" s="20" t="s">
        <v>51</v>
      </c>
      <c r="DW104" s="44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</row>
    <row r="105" spans="1:268" s="66" customFormat="1" ht="16.5">
      <c r="A105" s="307" t="s">
        <v>75</v>
      </c>
      <c r="B105" s="308"/>
      <c r="C105" s="39">
        <f>'[1]прогноз '!B97</f>
        <v>0</v>
      </c>
      <c r="D105" s="39">
        <f>'[1]прогноз '!C97</f>
        <v>0</v>
      </c>
      <c r="E105" s="39">
        <v>0</v>
      </c>
      <c r="F105" s="39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f t="shared" si="404"/>
        <v>0</v>
      </c>
      <c r="L105" s="40">
        <f t="shared" si="404"/>
        <v>0</v>
      </c>
      <c r="M105" s="40">
        <v>0</v>
      </c>
      <c r="N105" s="40">
        <v>0</v>
      </c>
      <c r="O105" s="40">
        <f t="shared" si="405"/>
        <v>0</v>
      </c>
      <c r="P105" s="40">
        <f t="shared" si="405"/>
        <v>0</v>
      </c>
      <c r="Q105" s="40">
        <v>0</v>
      </c>
      <c r="R105" s="40">
        <v>0</v>
      </c>
      <c r="S105" s="40">
        <f t="shared" si="406"/>
        <v>0</v>
      </c>
      <c r="T105" s="40">
        <f t="shared" si="406"/>
        <v>0</v>
      </c>
      <c r="U105" s="40">
        <v>0</v>
      </c>
      <c r="V105" s="40">
        <v>0</v>
      </c>
      <c r="W105" s="40">
        <f t="shared" si="407"/>
        <v>0</v>
      </c>
      <c r="X105" s="40">
        <f t="shared" si="407"/>
        <v>0</v>
      </c>
      <c r="Y105" s="40">
        <v>0</v>
      </c>
      <c r="Z105" s="40">
        <v>0</v>
      </c>
      <c r="AA105" s="40">
        <f t="shared" si="408"/>
        <v>0</v>
      </c>
      <c r="AB105" s="40">
        <f t="shared" si="408"/>
        <v>0</v>
      </c>
      <c r="AC105" s="40">
        <v>0</v>
      </c>
      <c r="AD105" s="40">
        <v>0</v>
      </c>
      <c r="AE105" s="40">
        <f t="shared" si="409"/>
        <v>0</v>
      </c>
      <c r="AF105" s="40">
        <f t="shared" si="409"/>
        <v>0</v>
      </c>
      <c r="AG105" s="40">
        <v>0</v>
      </c>
      <c r="AH105" s="40">
        <v>0</v>
      </c>
      <c r="AI105" s="40">
        <f t="shared" si="410"/>
        <v>0</v>
      </c>
      <c r="AJ105" s="40">
        <f t="shared" si="410"/>
        <v>0</v>
      </c>
      <c r="AK105" s="40">
        <v>0</v>
      </c>
      <c r="AL105" s="40">
        <v>0</v>
      </c>
      <c r="AM105" s="40">
        <f t="shared" si="411"/>
        <v>0</v>
      </c>
      <c r="AN105" s="40">
        <f t="shared" si="411"/>
        <v>0</v>
      </c>
      <c r="AO105" s="40">
        <v>0</v>
      </c>
      <c r="AP105" s="40">
        <v>0</v>
      </c>
      <c r="AQ105" s="40">
        <f t="shared" si="412"/>
        <v>0</v>
      </c>
      <c r="AR105" s="40">
        <f t="shared" si="412"/>
        <v>0</v>
      </c>
      <c r="AS105" s="40">
        <v>0</v>
      </c>
      <c r="AT105" s="40">
        <v>0</v>
      </c>
      <c r="AU105" s="40">
        <f t="shared" si="413"/>
        <v>0</v>
      </c>
      <c r="AV105" s="40">
        <f t="shared" si="413"/>
        <v>0</v>
      </c>
      <c r="AW105" s="41">
        <v>0</v>
      </c>
      <c r="AX105" s="41">
        <v>0</v>
      </c>
      <c r="AY105" s="39" t="s">
        <v>51</v>
      </c>
      <c r="AZ105" s="39" t="s">
        <v>51</v>
      </c>
      <c r="BA105" s="24" t="s">
        <v>51</v>
      </c>
      <c r="BB105" s="24" t="s">
        <v>51</v>
      </c>
      <c r="BC105" s="40">
        <v>0</v>
      </c>
      <c r="BD105" s="40">
        <v>0</v>
      </c>
      <c r="BE105" s="40">
        <v>0</v>
      </c>
      <c r="BF105" s="40">
        <v>0</v>
      </c>
      <c r="BG105" s="40">
        <f t="shared" si="414"/>
        <v>0</v>
      </c>
      <c r="BH105" s="40">
        <f t="shared" si="414"/>
        <v>0</v>
      </c>
      <c r="BI105" s="24" t="s">
        <v>51</v>
      </c>
      <c r="BJ105" s="24" t="s">
        <v>51</v>
      </c>
      <c r="BK105" s="40">
        <v>0</v>
      </c>
      <c r="BL105" s="98">
        <v>0</v>
      </c>
      <c r="BM105" s="40">
        <f t="shared" si="415"/>
        <v>0</v>
      </c>
      <c r="BN105" s="40">
        <f t="shared" si="415"/>
        <v>0</v>
      </c>
      <c r="BO105" s="24" t="s">
        <v>51</v>
      </c>
      <c r="BP105" s="24" t="s">
        <v>51</v>
      </c>
      <c r="BQ105" s="40"/>
      <c r="BR105" s="40"/>
      <c r="BS105" s="40">
        <f t="shared" si="416"/>
        <v>0</v>
      </c>
      <c r="BT105" s="40">
        <f t="shared" si="416"/>
        <v>0</v>
      </c>
      <c r="BU105" s="24" t="s">
        <v>51</v>
      </c>
      <c r="BV105" s="24" t="s">
        <v>51</v>
      </c>
      <c r="BW105" s="40"/>
      <c r="BX105" s="40"/>
      <c r="BY105" s="40">
        <f t="shared" si="417"/>
        <v>0</v>
      </c>
      <c r="BZ105" s="40">
        <f t="shared" si="417"/>
        <v>0</v>
      </c>
      <c r="CA105" s="24" t="s">
        <v>51</v>
      </c>
      <c r="CB105" s="24" t="s">
        <v>51</v>
      </c>
      <c r="CC105" s="40"/>
      <c r="CD105" s="40"/>
      <c r="CE105" s="40">
        <f t="shared" si="418"/>
        <v>0</v>
      </c>
      <c r="CF105" s="40">
        <f t="shared" si="418"/>
        <v>0</v>
      </c>
      <c r="CG105" s="24" t="s">
        <v>51</v>
      </c>
      <c r="CH105" s="24" t="s">
        <v>51</v>
      </c>
      <c r="CI105" s="40"/>
      <c r="CJ105" s="40"/>
      <c r="CK105" s="40">
        <f t="shared" si="419"/>
        <v>0</v>
      </c>
      <c r="CL105" s="40">
        <f t="shared" si="419"/>
        <v>0</v>
      </c>
      <c r="CM105" s="24" t="s">
        <v>51</v>
      </c>
      <c r="CN105" s="24" t="s">
        <v>51</v>
      </c>
      <c r="CO105" s="40"/>
      <c r="CP105" s="40"/>
      <c r="CQ105" s="40">
        <f t="shared" si="420"/>
        <v>0</v>
      </c>
      <c r="CR105" s="40">
        <f t="shared" si="420"/>
        <v>0</v>
      </c>
      <c r="CS105" s="24" t="s">
        <v>51</v>
      </c>
      <c r="CT105" s="24" t="s">
        <v>51</v>
      </c>
      <c r="CU105" s="40"/>
      <c r="CV105" s="40"/>
      <c r="CW105" s="40">
        <f t="shared" si="421"/>
        <v>0</v>
      </c>
      <c r="CX105" s="40">
        <f t="shared" si="421"/>
        <v>0</v>
      </c>
      <c r="CY105" s="24" t="s">
        <v>51</v>
      </c>
      <c r="CZ105" s="24" t="s">
        <v>51</v>
      </c>
      <c r="DA105" s="40"/>
      <c r="DB105" s="40"/>
      <c r="DC105" s="40">
        <f t="shared" si="422"/>
        <v>0</v>
      </c>
      <c r="DD105" s="40">
        <f t="shared" si="422"/>
        <v>0</v>
      </c>
      <c r="DE105" s="24" t="s">
        <v>51</v>
      </c>
      <c r="DF105" s="24" t="s">
        <v>51</v>
      </c>
      <c r="DG105" s="40"/>
      <c r="DH105" s="40"/>
      <c r="DI105" s="40">
        <f t="shared" si="423"/>
        <v>0</v>
      </c>
      <c r="DJ105" s="40">
        <f t="shared" si="423"/>
        <v>0</v>
      </c>
      <c r="DK105" s="24" t="s">
        <v>51</v>
      </c>
      <c r="DL105" s="24" t="s">
        <v>51</v>
      </c>
      <c r="DM105" s="40"/>
      <c r="DN105" s="40"/>
      <c r="DO105" s="40"/>
      <c r="DP105" s="40"/>
      <c r="DQ105" s="40">
        <v>0</v>
      </c>
      <c r="DR105" s="40">
        <v>0</v>
      </c>
      <c r="DS105" s="24" t="s">
        <v>51</v>
      </c>
      <c r="DT105" s="24" t="s">
        <v>51</v>
      </c>
      <c r="DU105" s="24" t="s">
        <v>51</v>
      </c>
      <c r="DV105" s="24" t="s">
        <v>51</v>
      </c>
      <c r="DW105" s="43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</row>
    <row r="106" spans="1:268" s="66" customFormat="1" ht="18.75" customHeight="1">
      <c r="A106" s="307" t="s">
        <v>76</v>
      </c>
      <c r="B106" s="308"/>
      <c r="C106" s="39">
        <f>'[1]прогноз '!B98</f>
        <v>0</v>
      </c>
      <c r="D106" s="39">
        <f>'[1]прогноз '!C98</f>
        <v>0</v>
      </c>
      <c r="E106" s="39">
        <v>0</v>
      </c>
      <c r="F106" s="39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f t="shared" si="404"/>
        <v>0</v>
      </c>
      <c r="L106" s="40">
        <f t="shared" si="404"/>
        <v>0</v>
      </c>
      <c r="M106" s="40">
        <v>0</v>
      </c>
      <c r="N106" s="40">
        <v>0</v>
      </c>
      <c r="O106" s="40">
        <f t="shared" si="405"/>
        <v>0</v>
      </c>
      <c r="P106" s="40">
        <f t="shared" si="405"/>
        <v>0</v>
      </c>
      <c r="Q106" s="40">
        <v>0</v>
      </c>
      <c r="R106" s="40">
        <v>0</v>
      </c>
      <c r="S106" s="40">
        <f t="shared" si="406"/>
        <v>0</v>
      </c>
      <c r="T106" s="40">
        <f t="shared" si="406"/>
        <v>0</v>
      </c>
      <c r="U106" s="40">
        <v>0</v>
      </c>
      <c r="V106" s="40">
        <v>0</v>
      </c>
      <c r="W106" s="40">
        <f t="shared" si="407"/>
        <v>0</v>
      </c>
      <c r="X106" s="40">
        <f t="shared" si="407"/>
        <v>0</v>
      </c>
      <c r="Y106" s="40">
        <v>0</v>
      </c>
      <c r="Z106" s="40">
        <v>0</v>
      </c>
      <c r="AA106" s="40">
        <f t="shared" si="408"/>
        <v>0</v>
      </c>
      <c r="AB106" s="40">
        <f t="shared" si="408"/>
        <v>0</v>
      </c>
      <c r="AC106" s="40">
        <v>0</v>
      </c>
      <c r="AD106" s="40">
        <v>0</v>
      </c>
      <c r="AE106" s="40">
        <f t="shared" si="409"/>
        <v>0</v>
      </c>
      <c r="AF106" s="40">
        <f t="shared" si="409"/>
        <v>0</v>
      </c>
      <c r="AG106" s="40">
        <v>0</v>
      </c>
      <c r="AH106" s="40">
        <v>0</v>
      </c>
      <c r="AI106" s="40">
        <f t="shared" si="410"/>
        <v>0</v>
      </c>
      <c r="AJ106" s="40">
        <f t="shared" si="410"/>
        <v>0</v>
      </c>
      <c r="AK106" s="40">
        <v>0</v>
      </c>
      <c r="AL106" s="40">
        <v>0</v>
      </c>
      <c r="AM106" s="40">
        <f t="shared" si="411"/>
        <v>0</v>
      </c>
      <c r="AN106" s="40">
        <f t="shared" si="411"/>
        <v>0</v>
      </c>
      <c r="AO106" s="40">
        <v>0</v>
      </c>
      <c r="AP106" s="40">
        <v>0</v>
      </c>
      <c r="AQ106" s="40">
        <f t="shared" si="412"/>
        <v>0</v>
      </c>
      <c r="AR106" s="40">
        <f t="shared" si="412"/>
        <v>0</v>
      </c>
      <c r="AS106" s="40">
        <v>0</v>
      </c>
      <c r="AT106" s="40">
        <v>0</v>
      </c>
      <c r="AU106" s="40">
        <f t="shared" si="413"/>
        <v>0</v>
      </c>
      <c r="AV106" s="40">
        <f t="shared" si="413"/>
        <v>0</v>
      </c>
      <c r="AW106" s="41">
        <v>0</v>
      </c>
      <c r="AX106" s="41">
        <v>0</v>
      </c>
      <c r="AY106" s="39" t="s">
        <v>51</v>
      </c>
      <c r="AZ106" s="39" t="s">
        <v>51</v>
      </c>
      <c r="BA106" s="24" t="s">
        <v>51</v>
      </c>
      <c r="BB106" s="24" t="s">
        <v>51</v>
      </c>
      <c r="BC106" s="40">
        <v>0</v>
      </c>
      <c r="BD106" s="40">
        <v>0</v>
      </c>
      <c r="BE106" s="40">
        <v>0</v>
      </c>
      <c r="BF106" s="40">
        <v>0</v>
      </c>
      <c r="BG106" s="40">
        <f t="shared" si="414"/>
        <v>0</v>
      </c>
      <c r="BH106" s="40">
        <f t="shared" si="414"/>
        <v>0</v>
      </c>
      <c r="BI106" s="24" t="s">
        <v>51</v>
      </c>
      <c r="BJ106" s="24" t="s">
        <v>51</v>
      </c>
      <c r="BK106" s="40">
        <v>0</v>
      </c>
      <c r="BL106" s="98">
        <v>0</v>
      </c>
      <c r="BM106" s="40">
        <f t="shared" si="415"/>
        <v>0</v>
      </c>
      <c r="BN106" s="40">
        <f t="shared" si="415"/>
        <v>0</v>
      </c>
      <c r="BO106" s="24" t="s">
        <v>51</v>
      </c>
      <c r="BP106" s="24" t="s">
        <v>51</v>
      </c>
      <c r="BQ106" s="40"/>
      <c r="BR106" s="40"/>
      <c r="BS106" s="40">
        <f t="shared" si="416"/>
        <v>0</v>
      </c>
      <c r="BT106" s="40">
        <f t="shared" si="416"/>
        <v>0</v>
      </c>
      <c r="BU106" s="24" t="s">
        <v>51</v>
      </c>
      <c r="BV106" s="24" t="s">
        <v>51</v>
      </c>
      <c r="BW106" s="40"/>
      <c r="BX106" s="40"/>
      <c r="BY106" s="40">
        <f t="shared" si="417"/>
        <v>0</v>
      </c>
      <c r="BZ106" s="40">
        <f t="shared" si="417"/>
        <v>0</v>
      </c>
      <c r="CA106" s="24" t="s">
        <v>51</v>
      </c>
      <c r="CB106" s="24" t="s">
        <v>51</v>
      </c>
      <c r="CC106" s="40"/>
      <c r="CD106" s="40"/>
      <c r="CE106" s="40">
        <f t="shared" si="418"/>
        <v>0</v>
      </c>
      <c r="CF106" s="40">
        <f t="shared" si="418"/>
        <v>0</v>
      </c>
      <c r="CG106" s="24" t="s">
        <v>51</v>
      </c>
      <c r="CH106" s="24" t="s">
        <v>51</v>
      </c>
      <c r="CI106" s="40"/>
      <c r="CJ106" s="40"/>
      <c r="CK106" s="40">
        <f t="shared" si="419"/>
        <v>0</v>
      </c>
      <c r="CL106" s="40">
        <f t="shared" si="419"/>
        <v>0</v>
      </c>
      <c r="CM106" s="24" t="s">
        <v>51</v>
      </c>
      <c r="CN106" s="24" t="s">
        <v>51</v>
      </c>
      <c r="CO106" s="40"/>
      <c r="CP106" s="40"/>
      <c r="CQ106" s="40">
        <f t="shared" si="420"/>
        <v>0</v>
      </c>
      <c r="CR106" s="40">
        <f t="shared" si="420"/>
        <v>0</v>
      </c>
      <c r="CS106" s="24" t="s">
        <v>51</v>
      </c>
      <c r="CT106" s="24" t="s">
        <v>51</v>
      </c>
      <c r="CU106" s="40"/>
      <c r="CV106" s="40"/>
      <c r="CW106" s="40">
        <f t="shared" si="421"/>
        <v>0</v>
      </c>
      <c r="CX106" s="40">
        <f t="shared" si="421"/>
        <v>0</v>
      </c>
      <c r="CY106" s="24" t="s">
        <v>51</v>
      </c>
      <c r="CZ106" s="24" t="s">
        <v>51</v>
      </c>
      <c r="DA106" s="40"/>
      <c r="DB106" s="40"/>
      <c r="DC106" s="40">
        <f t="shared" si="422"/>
        <v>0</v>
      </c>
      <c r="DD106" s="40">
        <f t="shared" si="422"/>
        <v>0</v>
      </c>
      <c r="DE106" s="24" t="s">
        <v>51</v>
      </c>
      <c r="DF106" s="24" t="s">
        <v>51</v>
      </c>
      <c r="DG106" s="40"/>
      <c r="DH106" s="40"/>
      <c r="DI106" s="40">
        <f t="shared" si="423"/>
        <v>0</v>
      </c>
      <c r="DJ106" s="40">
        <f t="shared" si="423"/>
        <v>0</v>
      </c>
      <c r="DK106" s="24" t="s">
        <v>51</v>
      </c>
      <c r="DL106" s="24" t="s">
        <v>51</v>
      </c>
      <c r="DM106" s="40"/>
      <c r="DN106" s="40"/>
      <c r="DO106" s="40"/>
      <c r="DP106" s="40"/>
      <c r="DQ106" s="40">
        <v>0</v>
      </c>
      <c r="DR106" s="40">
        <v>0</v>
      </c>
      <c r="DS106" s="24" t="s">
        <v>51</v>
      </c>
      <c r="DT106" s="24" t="s">
        <v>51</v>
      </c>
      <c r="DU106" s="24" t="s">
        <v>51</v>
      </c>
      <c r="DV106" s="24" t="s">
        <v>51</v>
      </c>
      <c r="DW106" s="43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</row>
    <row r="107" spans="1:268" s="66" customFormat="1" ht="21.75" customHeight="1">
      <c r="A107" s="307" t="s">
        <v>129</v>
      </c>
      <c r="B107" s="308"/>
      <c r="C107" s="42">
        <f>'[1]прогноз '!B99</f>
        <v>0</v>
      </c>
      <c r="D107" s="42">
        <f>'[1]прогноз '!C99</f>
        <v>0</v>
      </c>
      <c r="E107" s="42">
        <f>[2]Консолид.!$BC$23/1000</f>
        <v>0</v>
      </c>
      <c r="F107" s="42">
        <f>[2]районы!$AP$23/1000</f>
        <v>0</v>
      </c>
      <c r="G107" s="30">
        <f>88+H107</f>
        <v>887.2</v>
      </c>
      <c r="H107" s="30">
        <v>799.2</v>
      </c>
      <c r="I107" s="30">
        <v>237</v>
      </c>
      <c r="J107" s="30">
        <v>28</v>
      </c>
      <c r="K107" s="30">
        <f t="shared" si="404"/>
        <v>237</v>
      </c>
      <c r="L107" s="30">
        <f t="shared" si="404"/>
        <v>28</v>
      </c>
      <c r="M107" s="30">
        <f>262.5+N107</f>
        <v>1725.5</v>
      </c>
      <c r="N107" s="30">
        <v>1463</v>
      </c>
      <c r="O107" s="30">
        <f t="shared" si="405"/>
        <v>1725.5</v>
      </c>
      <c r="P107" s="30">
        <f t="shared" si="405"/>
        <v>1463</v>
      </c>
      <c r="Q107" s="30">
        <v>669</v>
      </c>
      <c r="R107" s="30">
        <f>669.4-354.4</f>
        <v>315</v>
      </c>
      <c r="S107" s="30">
        <f t="shared" si="406"/>
        <v>669</v>
      </c>
      <c r="T107" s="30">
        <f t="shared" si="406"/>
        <v>315</v>
      </c>
      <c r="U107" s="30">
        <f>1131.3+358.6</f>
        <v>1489.9</v>
      </c>
      <c r="V107" s="30">
        <v>1131.3</v>
      </c>
      <c r="W107" s="30">
        <f t="shared" si="407"/>
        <v>1489.9</v>
      </c>
      <c r="X107" s="30">
        <f t="shared" si="407"/>
        <v>1131.3</v>
      </c>
      <c r="Y107" s="30">
        <v>217.8</v>
      </c>
      <c r="Z107" s="30">
        <v>0</v>
      </c>
      <c r="AA107" s="30">
        <f t="shared" si="408"/>
        <v>217.8</v>
      </c>
      <c r="AB107" s="30">
        <f t="shared" si="408"/>
        <v>0</v>
      </c>
      <c r="AC107" s="30">
        <v>117.8</v>
      </c>
      <c r="AD107" s="30">
        <v>0</v>
      </c>
      <c r="AE107" s="30">
        <f t="shared" si="409"/>
        <v>117.8</v>
      </c>
      <c r="AF107" s="30">
        <f t="shared" si="409"/>
        <v>0</v>
      </c>
      <c r="AG107" s="30">
        <v>228.4</v>
      </c>
      <c r="AH107" s="30">
        <v>0</v>
      </c>
      <c r="AI107" s="30">
        <f t="shared" si="410"/>
        <v>228.4</v>
      </c>
      <c r="AJ107" s="30">
        <f t="shared" si="410"/>
        <v>0</v>
      </c>
      <c r="AK107" s="30">
        <v>183.4</v>
      </c>
      <c r="AL107" s="30">
        <v>0</v>
      </c>
      <c r="AM107" s="30">
        <f t="shared" si="411"/>
        <v>183.4</v>
      </c>
      <c r="AN107" s="30">
        <f t="shared" si="411"/>
        <v>0</v>
      </c>
      <c r="AO107" s="30">
        <v>0</v>
      </c>
      <c r="AP107" s="30">
        <v>0</v>
      </c>
      <c r="AQ107" s="30">
        <f t="shared" si="412"/>
        <v>0</v>
      </c>
      <c r="AR107" s="30">
        <f t="shared" si="412"/>
        <v>0</v>
      </c>
      <c r="AS107" s="30">
        <v>216.7</v>
      </c>
      <c r="AT107" s="30">
        <v>216.7</v>
      </c>
      <c r="AU107" s="30">
        <f t="shared" si="413"/>
        <v>216.7</v>
      </c>
      <c r="AV107" s="30">
        <f t="shared" si="413"/>
        <v>216.7</v>
      </c>
      <c r="AW107" s="40">
        <v>67.099999999999994</v>
      </c>
      <c r="AX107" s="40">
        <v>67.099999999999994</v>
      </c>
      <c r="AY107" s="42" t="s">
        <v>51</v>
      </c>
      <c r="AZ107" s="42" t="s">
        <v>51</v>
      </c>
      <c r="BA107" s="24" t="s">
        <v>51</v>
      </c>
      <c r="BB107" s="24" t="s">
        <v>51</v>
      </c>
      <c r="BC107" s="30"/>
      <c r="BD107" s="30"/>
      <c r="BE107" s="30"/>
      <c r="BF107" s="30"/>
      <c r="BG107" s="30">
        <f t="shared" si="414"/>
        <v>0</v>
      </c>
      <c r="BH107" s="30">
        <f t="shared" si="414"/>
        <v>0</v>
      </c>
      <c r="BI107" s="24" t="s">
        <v>51</v>
      </c>
      <c r="BJ107" s="24" t="s">
        <v>51</v>
      </c>
      <c r="BK107" s="30"/>
      <c r="BL107" s="98">
        <v>0</v>
      </c>
      <c r="BM107" s="30">
        <f t="shared" si="415"/>
        <v>0</v>
      </c>
      <c r="BN107" s="30">
        <f t="shared" si="415"/>
        <v>0</v>
      </c>
      <c r="BO107" s="24" t="s">
        <v>51</v>
      </c>
      <c r="BP107" s="24" t="s">
        <v>51</v>
      </c>
      <c r="BQ107" s="30"/>
      <c r="BR107" s="30"/>
      <c r="BS107" s="30">
        <f t="shared" si="416"/>
        <v>0</v>
      </c>
      <c r="BT107" s="30">
        <f t="shared" si="416"/>
        <v>0</v>
      </c>
      <c r="BU107" s="24" t="s">
        <v>51</v>
      </c>
      <c r="BV107" s="24" t="s">
        <v>51</v>
      </c>
      <c r="BW107" s="30"/>
      <c r="BX107" s="30"/>
      <c r="BY107" s="30">
        <f t="shared" si="417"/>
        <v>0</v>
      </c>
      <c r="BZ107" s="30">
        <f t="shared" si="417"/>
        <v>0</v>
      </c>
      <c r="CA107" s="24" t="s">
        <v>51</v>
      </c>
      <c r="CB107" s="24" t="s">
        <v>51</v>
      </c>
      <c r="CC107" s="30"/>
      <c r="CD107" s="30"/>
      <c r="CE107" s="30">
        <f t="shared" si="418"/>
        <v>0</v>
      </c>
      <c r="CF107" s="30">
        <f t="shared" si="418"/>
        <v>0</v>
      </c>
      <c r="CG107" s="24" t="s">
        <v>51</v>
      </c>
      <c r="CH107" s="24" t="s">
        <v>51</v>
      </c>
      <c r="CI107" s="30"/>
      <c r="CJ107" s="30"/>
      <c r="CK107" s="30">
        <f t="shared" si="419"/>
        <v>0</v>
      </c>
      <c r="CL107" s="30">
        <f t="shared" si="419"/>
        <v>0</v>
      </c>
      <c r="CM107" s="24" t="s">
        <v>51</v>
      </c>
      <c r="CN107" s="24" t="s">
        <v>51</v>
      </c>
      <c r="CO107" s="30"/>
      <c r="CP107" s="30"/>
      <c r="CQ107" s="30">
        <f t="shared" si="420"/>
        <v>0</v>
      </c>
      <c r="CR107" s="30">
        <f t="shared" si="420"/>
        <v>0</v>
      </c>
      <c r="CS107" s="24" t="s">
        <v>51</v>
      </c>
      <c r="CT107" s="24" t="s">
        <v>51</v>
      </c>
      <c r="CU107" s="30"/>
      <c r="CV107" s="30"/>
      <c r="CW107" s="30">
        <f t="shared" si="421"/>
        <v>0</v>
      </c>
      <c r="CX107" s="30">
        <f t="shared" si="421"/>
        <v>0</v>
      </c>
      <c r="CY107" s="24" t="s">
        <v>51</v>
      </c>
      <c r="CZ107" s="24" t="s">
        <v>51</v>
      </c>
      <c r="DA107" s="30"/>
      <c r="DB107" s="30"/>
      <c r="DC107" s="30">
        <f t="shared" si="422"/>
        <v>0</v>
      </c>
      <c r="DD107" s="30">
        <f t="shared" si="422"/>
        <v>0</v>
      </c>
      <c r="DE107" s="24" t="s">
        <v>51</v>
      </c>
      <c r="DF107" s="24" t="s">
        <v>51</v>
      </c>
      <c r="DG107" s="30"/>
      <c r="DH107" s="30"/>
      <c r="DI107" s="30">
        <f t="shared" si="423"/>
        <v>0</v>
      </c>
      <c r="DJ107" s="30">
        <f t="shared" si="423"/>
        <v>0</v>
      </c>
      <c r="DK107" s="24" t="s">
        <v>51</v>
      </c>
      <c r="DL107" s="24" t="s">
        <v>51</v>
      </c>
      <c r="DM107" s="30"/>
      <c r="DN107" s="30"/>
      <c r="DO107" s="30"/>
      <c r="DP107" s="30"/>
      <c r="DQ107" s="30">
        <v>0</v>
      </c>
      <c r="DR107" s="30">
        <v>0</v>
      </c>
      <c r="DS107" s="24" t="s">
        <v>51</v>
      </c>
      <c r="DT107" s="24" t="s">
        <v>51</v>
      </c>
      <c r="DU107" s="24" t="s">
        <v>51</v>
      </c>
      <c r="DV107" s="24" t="s">
        <v>51</v>
      </c>
      <c r="DW107" s="43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</row>
    <row r="108" spans="1:268" s="87" customFormat="1" ht="35.25" customHeight="1">
      <c r="A108" s="224" t="s">
        <v>135</v>
      </c>
      <c r="B108" s="225"/>
      <c r="C108" s="17">
        <f>'[1]прогноз '!B100</f>
        <v>0</v>
      </c>
      <c r="D108" s="17">
        <f>'[1]прогноз '!C100</f>
        <v>0</v>
      </c>
      <c r="E108" s="17">
        <f>'[3]форма отчета с 01.06.2015'!$B$12</f>
        <v>16175.4</v>
      </c>
      <c r="F108" s="17">
        <f>'[3]форма отчета с 01.06.2015'!$B$14</f>
        <v>11342.5</v>
      </c>
      <c r="G108" s="17">
        <v>24254.400000000001</v>
      </c>
      <c r="H108" s="17">
        <v>8390.9</v>
      </c>
      <c r="I108" s="17">
        <v>22728.400000000001</v>
      </c>
      <c r="J108" s="17">
        <v>13728.2</v>
      </c>
      <c r="K108" s="17">
        <f t="shared" si="404"/>
        <v>22728.400000000001</v>
      </c>
      <c r="L108" s="17">
        <f t="shared" si="404"/>
        <v>13728.2</v>
      </c>
      <c r="M108" s="17">
        <v>19771.2</v>
      </c>
      <c r="N108" s="17">
        <v>11097</v>
      </c>
      <c r="O108" s="17">
        <f t="shared" si="405"/>
        <v>19771.2</v>
      </c>
      <c r="P108" s="17">
        <f t="shared" si="405"/>
        <v>11097</v>
      </c>
      <c r="Q108" s="17">
        <v>26399.3</v>
      </c>
      <c r="R108" s="17">
        <v>17225.099999999999</v>
      </c>
      <c r="S108" s="17">
        <f t="shared" si="406"/>
        <v>26399.3</v>
      </c>
      <c r="T108" s="17">
        <f t="shared" si="406"/>
        <v>17225.099999999999</v>
      </c>
      <c r="U108" s="17">
        <v>30808.799999999999</v>
      </c>
      <c r="V108" s="17">
        <v>19119.2</v>
      </c>
      <c r="W108" s="17">
        <f t="shared" si="407"/>
        <v>30808.799999999999</v>
      </c>
      <c r="X108" s="17">
        <f t="shared" si="407"/>
        <v>19119.2</v>
      </c>
      <c r="Y108" s="17">
        <v>27111.3</v>
      </c>
      <c r="Z108" s="17">
        <v>18300.599999999999</v>
      </c>
      <c r="AA108" s="17">
        <f t="shared" si="408"/>
        <v>27111.3</v>
      </c>
      <c r="AB108" s="17">
        <f t="shared" si="408"/>
        <v>18300.599999999999</v>
      </c>
      <c r="AC108" s="17">
        <v>20161.8</v>
      </c>
      <c r="AD108" s="17">
        <v>13849.4</v>
      </c>
      <c r="AE108" s="17">
        <f t="shared" si="409"/>
        <v>20161.8</v>
      </c>
      <c r="AF108" s="17">
        <f t="shared" si="409"/>
        <v>13849.4</v>
      </c>
      <c r="AG108" s="17">
        <v>15752.3</v>
      </c>
      <c r="AH108" s="17">
        <v>7537</v>
      </c>
      <c r="AI108" s="17">
        <f t="shared" si="410"/>
        <v>15752.3</v>
      </c>
      <c r="AJ108" s="17">
        <f t="shared" si="410"/>
        <v>7537</v>
      </c>
      <c r="AK108" s="17">
        <v>25213.9</v>
      </c>
      <c r="AL108" s="17">
        <v>10012</v>
      </c>
      <c r="AM108" s="17">
        <f t="shared" si="411"/>
        <v>25213.9</v>
      </c>
      <c r="AN108" s="17">
        <f t="shared" si="411"/>
        <v>10012</v>
      </c>
      <c r="AO108" s="17">
        <v>28306.2</v>
      </c>
      <c r="AP108" s="17">
        <v>11132</v>
      </c>
      <c r="AQ108" s="17">
        <f t="shared" si="412"/>
        <v>28306.2</v>
      </c>
      <c r="AR108" s="17">
        <f t="shared" si="412"/>
        <v>11132</v>
      </c>
      <c r="AS108" s="17">
        <v>24373</v>
      </c>
      <c r="AT108" s="17">
        <v>10021.5</v>
      </c>
      <c r="AU108" s="17">
        <f t="shared" si="413"/>
        <v>24373</v>
      </c>
      <c r="AV108" s="17">
        <f t="shared" si="413"/>
        <v>10021.5</v>
      </c>
      <c r="AW108" s="17">
        <v>16175.4</v>
      </c>
      <c r="AX108" s="17">
        <v>11342.5</v>
      </c>
      <c r="AY108" s="17" t="s">
        <v>51</v>
      </c>
      <c r="AZ108" s="17" t="s">
        <v>51</v>
      </c>
      <c r="BA108" s="20" t="s">
        <v>51</v>
      </c>
      <c r="BB108" s="20" t="s">
        <v>51</v>
      </c>
      <c r="BC108" s="17">
        <v>20528.5</v>
      </c>
      <c r="BD108" s="17">
        <v>11929.4</v>
      </c>
      <c r="BE108" s="17">
        <v>13308.8</v>
      </c>
      <c r="BF108" s="17">
        <v>6761.1</v>
      </c>
      <c r="BG108" s="17">
        <f t="shared" si="414"/>
        <v>13308.8</v>
      </c>
      <c r="BH108" s="17">
        <f t="shared" si="414"/>
        <v>6761.1</v>
      </c>
      <c r="BI108" s="20" t="s">
        <v>51</v>
      </c>
      <c r="BJ108" s="20" t="s">
        <v>51</v>
      </c>
      <c r="BK108" s="17"/>
      <c r="BL108" s="99">
        <v>12003.8</v>
      </c>
      <c r="BM108" s="17">
        <f t="shared" si="415"/>
        <v>0</v>
      </c>
      <c r="BN108" s="17">
        <f t="shared" si="415"/>
        <v>12003.8</v>
      </c>
      <c r="BO108" s="20" t="s">
        <v>51</v>
      </c>
      <c r="BP108" s="20" t="s">
        <v>51</v>
      </c>
      <c r="BQ108" s="17"/>
      <c r="BR108" s="17"/>
      <c r="BS108" s="17">
        <f t="shared" si="416"/>
        <v>0</v>
      </c>
      <c r="BT108" s="17">
        <f t="shared" si="416"/>
        <v>0</v>
      </c>
      <c r="BU108" s="20" t="s">
        <v>51</v>
      </c>
      <c r="BV108" s="20" t="s">
        <v>51</v>
      </c>
      <c r="BW108" s="17"/>
      <c r="BX108" s="17"/>
      <c r="BY108" s="17">
        <f t="shared" si="417"/>
        <v>0</v>
      </c>
      <c r="BZ108" s="17">
        <f t="shared" si="417"/>
        <v>0</v>
      </c>
      <c r="CA108" s="20" t="s">
        <v>51</v>
      </c>
      <c r="CB108" s="20" t="s">
        <v>51</v>
      </c>
      <c r="CC108" s="17"/>
      <c r="CD108" s="17"/>
      <c r="CE108" s="17">
        <f t="shared" si="418"/>
        <v>0</v>
      </c>
      <c r="CF108" s="17">
        <f t="shared" si="418"/>
        <v>0</v>
      </c>
      <c r="CG108" s="20" t="s">
        <v>51</v>
      </c>
      <c r="CH108" s="20" t="s">
        <v>51</v>
      </c>
      <c r="CI108" s="17"/>
      <c r="CJ108" s="17"/>
      <c r="CK108" s="17">
        <f t="shared" si="419"/>
        <v>0</v>
      </c>
      <c r="CL108" s="17">
        <f t="shared" si="419"/>
        <v>0</v>
      </c>
      <c r="CM108" s="20" t="s">
        <v>51</v>
      </c>
      <c r="CN108" s="20" t="s">
        <v>51</v>
      </c>
      <c r="CO108" s="17"/>
      <c r="CP108" s="17"/>
      <c r="CQ108" s="17">
        <f t="shared" si="420"/>
        <v>0</v>
      </c>
      <c r="CR108" s="17">
        <f t="shared" si="420"/>
        <v>0</v>
      </c>
      <c r="CS108" s="20" t="s">
        <v>51</v>
      </c>
      <c r="CT108" s="20" t="s">
        <v>51</v>
      </c>
      <c r="CU108" s="17"/>
      <c r="CV108" s="17"/>
      <c r="CW108" s="17">
        <f t="shared" si="421"/>
        <v>0</v>
      </c>
      <c r="CX108" s="17">
        <f t="shared" si="421"/>
        <v>0</v>
      </c>
      <c r="CY108" s="20" t="s">
        <v>51</v>
      </c>
      <c r="CZ108" s="20" t="s">
        <v>51</v>
      </c>
      <c r="DA108" s="17"/>
      <c r="DB108" s="17"/>
      <c r="DC108" s="17">
        <f t="shared" si="422"/>
        <v>0</v>
      </c>
      <c r="DD108" s="17">
        <f t="shared" si="422"/>
        <v>0</v>
      </c>
      <c r="DE108" s="20" t="s">
        <v>51</v>
      </c>
      <c r="DF108" s="20" t="s">
        <v>51</v>
      </c>
      <c r="DG108" s="17"/>
      <c r="DH108" s="17"/>
      <c r="DI108" s="17">
        <f t="shared" si="423"/>
        <v>0</v>
      </c>
      <c r="DJ108" s="17">
        <f t="shared" si="423"/>
        <v>0</v>
      </c>
      <c r="DK108" s="20" t="s">
        <v>51</v>
      </c>
      <c r="DL108" s="20" t="s">
        <v>51</v>
      </c>
      <c r="DM108" s="17"/>
      <c r="DN108" s="17"/>
      <c r="DO108" s="17"/>
      <c r="DP108" s="17"/>
      <c r="DQ108" s="17">
        <v>11006</v>
      </c>
      <c r="DR108" s="17">
        <v>7006.1</v>
      </c>
      <c r="DS108" s="20" t="s">
        <v>51</v>
      </c>
      <c r="DT108" s="20" t="s">
        <v>51</v>
      </c>
      <c r="DU108" s="20" t="s">
        <v>51</v>
      </c>
      <c r="DV108" s="20" t="s">
        <v>51</v>
      </c>
      <c r="DW108" s="44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</row>
    <row r="109" spans="1:268" s="66" customFormat="1" ht="16.5">
      <c r="A109" s="309" t="s">
        <v>78</v>
      </c>
      <c r="B109" s="310"/>
      <c r="C109" s="30">
        <f>'[1]прогноз '!B101</f>
        <v>0</v>
      </c>
      <c r="D109" s="30">
        <f>'[1]прогноз '!C101</f>
        <v>0</v>
      </c>
      <c r="E109" s="30">
        <f>E108-'[3]форма отчета с 01.06.2015'!$C$12</f>
        <v>1362.3999999999996</v>
      </c>
      <c r="F109" s="30">
        <f>F108-'[3]форма отчета с 01.06.2015'!$C$14</f>
        <v>1362.3999999999996</v>
      </c>
      <c r="G109" s="29">
        <v>17339.900000000001</v>
      </c>
      <c r="H109" s="29">
        <v>8378.7999999999993</v>
      </c>
      <c r="I109" s="29">
        <v>5391.1</v>
      </c>
      <c r="J109" s="29">
        <v>5353.6</v>
      </c>
      <c r="K109" s="29">
        <f t="shared" si="404"/>
        <v>5391.1</v>
      </c>
      <c r="L109" s="29">
        <f t="shared" si="404"/>
        <v>5353.6</v>
      </c>
      <c r="M109" s="29">
        <v>5122.7</v>
      </c>
      <c r="N109" s="29">
        <v>5079.7</v>
      </c>
      <c r="O109" s="29">
        <f t="shared" si="405"/>
        <v>5122.7</v>
      </c>
      <c r="P109" s="29">
        <f t="shared" si="405"/>
        <v>5079.7</v>
      </c>
      <c r="Q109" s="29">
        <v>8993.6</v>
      </c>
      <c r="R109" s="29">
        <v>8973.4</v>
      </c>
      <c r="S109" s="29">
        <f t="shared" si="406"/>
        <v>8993.6</v>
      </c>
      <c r="T109" s="29">
        <f t="shared" si="406"/>
        <v>8973.4</v>
      </c>
      <c r="U109" s="29">
        <v>9157.5</v>
      </c>
      <c r="V109" s="29">
        <v>8973.2000000000007</v>
      </c>
      <c r="W109" s="29">
        <f t="shared" si="407"/>
        <v>9157.5</v>
      </c>
      <c r="X109" s="29">
        <f t="shared" si="407"/>
        <v>8973.2000000000007</v>
      </c>
      <c r="Y109" s="29">
        <v>12642</v>
      </c>
      <c r="Z109" s="29">
        <v>12091</v>
      </c>
      <c r="AA109" s="29">
        <f t="shared" si="408"/>
        <v>12642</v>
      </c>
      <c r="AB109" s="29">
        <f t="shared" si="408"/>
        <v>12091</v>
      </c>
      <c r="AC109" s="29">
        <v>5508</v>
      </c>
      <c r="AD109" s="29">
        <v>5426</v>
      </c>
      <c r="AE109" s="29">
        <f t="shared" si="409"/>
        <v>5508</v>
      </c>
      <c r="AF109" s="29">
        <f t="shared" si="409"/>
        <v>5426</v>
      </c>
      <c r="AG109" s="29">
        <v>1817.2</v>
      </c>
      <c r="AH109" s="29">
        <v>1774</v>
      </c>
      <c r="AI109" s="29">
        <f t="shared" si="410"/>
        <v>1817.2</v>
      </c>
      <c r="AJ109" s="29">
        <f t="shared" si="410"/>
        <v>1774</v>
      </c>
      <c r="AK109" s="29">
        <v>3384.6</v>
      </c>
      <c r="AL109" s="29">
        <v>3008</v>
      </c>
      <c r="AM109" s="29">
        <f t="shared" si="411"/>
        <v>3384.6</v>
      </c>
      <c r="AN109" s="29">
        <f t="shared" si="411"/>
        <v>3008</v>
      </c>
      <c r="AO109" s="29">
        <v>2946.5</v>
      </c>
      <c r="AP109" s="29">
        <v>2842</v>
      </c>
      <c r="AQ109" s="29">
        <f t="shared" si="412"/>
        <v>2946.5</v>
      </c>
      <c r="AR109" s="29">
        <f t="shared" si="412"/>
        <v>2842</v>
      </c>
      <c r="AS109" s="29">
        <v>6902.7</v>
      </c>
      <c r="AT109" s="29">
        <v>4955.1000000000004</v>
      </c>
      <c r="AU109" s="29">
        <f t="shared" si="413"/>
        <v>6902.7</v>
      </c>
      <c r="AV109" s="29">
        <f t="shared" si="413"/>
        <v>4955.1000000000004</v>
      </c>
      <c r="AW109" s="30">
        <v>1362.4</v>
      </c>
      <c r="AX109" s="30">
        <v>1362.4</v>
      </c>
      <c r="AY109" s="42" t="s">
        <v>51</v>
      </c>
      <c r="AZ109" s="42" t="s">
        <v>51</v>
      </c>
      <c r="BA109" s="24" t="s">
        <v>51</v>
      </c>
      <c r="BB109" s="24" t="s">
        <v>51</v>
      </c>
      <c r="BC109" s="30">
        <v>123.2</v>
      </c>
      <c r="BD109" s="30">
        <v>60</v>
      </c>
      <c r="BE109" s="29">
        <v>71.8</v>
      </c>
      <c r="BF109" s="29">
        <v>16.7</v>
      </c>
      <c r="BG109" s="29">
        <f t="shared" si="414"/>
        <v>71.8</v>
      </c>
      <c r="BH109" s="29">
        <f t="shared" si="414"/>
        <v>16.7</v>
      </c>
      <c r="BI109" s="24" t="s">
        <v>51</v>
      </c>
      <c r="BJ109" s="24" t="s">
        <v>51</v>
      </c>
      <c r="BK109" s="30">
        <v>0</v>
      </c>
      <c r="BL109" s="98">
        <v>123.1</v>
      </c>
      <c r="BM109" s="29">
        <f t="shared" si="415"/>
        <v>0</v>
      </c>
      <c r="BN109" s="29">
        <f t="shared" si="415"/>
        <v>123.1</v>
      </c>
      <c r="BO109" s="24" t="s">
        <v>51</v>
      </c>
      <c r="BP109" s="24" t="s">
        <v>51</v>
      </c>
      <c r="BQ109" s="29"/>
      <c r="BR109" s="29"/>
      <c r="BS109" s="29">
        <f t="shared" si="416"/>
        <v>0</v>
      </c>
      <c r="BT109" s="29">
        <f t="shared" si="416"/>
        <v>0</v>
      </c>
      <c r="BU109" s="24" t="s">
        <v>51</v>
      </c>
      <c r="BV109" s="24" t="s">
        <v>51</v>
      </c>
      <c r="BW109" s="29"/>
      <c r="BX109" s="29"/>
      <c r="BY109" s="29">
        <f t="shared" si="417"/>
        <v>0</v>
      </c>
      <c r="BZ109" s="29">
        <f t="shared" si="417"/>
        <v>0</v>
      </c>
      <c r="CA109" s="24" t="s">
        <v>51</v>
      </c>
      <c r="CB109" s="24" t="s">
        <v>51</v>
      </c>
      <c r="CC109" s="29"/>
      <c r="CD109" s="29"/>
      <c r="CE109" s="29">
        <f t="shared" si="418"/>
        <v>0</v>
      </c>
      <c r="CF109" s="29">
        <f t="shared" si="418"/>
        <v>0</v>
      </c>
      <c r="CG109" s="24" t="s">
        <v>51</v>
      </c>
      <c r="CH109" s="24" t="s">
        <v>51</v>
      </c>
      <c r="CI109" s="29"/>
      <c r="CJ109" s="29"/>
      <c r="CK109" s="29">
        <f t="shared" si="419"/>
        <v>0</v>
      </c>
      <c r="CL109" s="29">
        <f t="shared" si="419"/>
        <v>0</v>
      </c>
      <c r="CM109" s="24" t="s">
        <v>51</v>
      </c>
      <c r="CN109" s="24" t="s">
        <v>51</v>
      </c>
      <c r="CO109" s="29"/>
      <c r="CP109" s="29"/>
      <c r="CQ109" s="29">
        <f t="shared" si="420"/>
        <v>0</v>
      </c>
      <c r="CR109" s="29">
        <f t="shared" si="420"/>
        <v>0</v>
      </c>
      <c r="CS109" s="24" t="s">
        <v>51</v>
      </c>
      <c r="CT109" s="24" t="s">
        <v>51</v>
      </c>
      <c r="CU109" s="29"/>
      <c r="CV109" s="29"/>
      <c r="CW109" s="29">
        <f t="shared" si="421"/>
        <v>0</v>
      </c>
      <c r="CX109" s="29">
        <f t="shared" si="421"/>
        <v>0</v>
      </c>
      <c r="CY109" s="24" t="s">
        <v>51</v>
      </c>
      <c r="CZ109" s="24" t="s">
        <v>51</v>
      </c>
      <c r="DA109" s="29"/>
      <c r="DB109" s="29"/>
      <c r="DC109" s="29">
        <f t="shared" si="422"/>
        <v>0</v>
      </c>
      <c r="DD109" s="29">
        <f t="shared" si="422"/>
        <v>0</v>
      </c>
      <c r="DE109" s="24" t="s">
        <v>51</v>
      </c>
      <c r="DF109" s="24" t="s">
        <v>51</v>
      </c>
      <c r="DG109" s="29"/>
      <c r="DH109" s="29"/>
      <c r="DI109" s="29">
        <f t="shared" si="423"/>
        <v>0</v>
      </c>
      <c r="DJ109" s="29">
        <f t="shared" si="423"/>
        <v>0</v>
      </c>
      <c r="DK109" s="24" t="s">
        <v>51</v>
      </c>
      <c r="DL109" s="24" t="s">
        <v>51</v>
      </c>
      <c r="DM109" s="29"/>
      <c r="DN109" s="29"/>
      <c r="DO109" s="30"/>
      <c r="DP109" s="30"/>
      <c r="DQ109" s="30"/>
      <c r="DR109" s="30"/>
      <c r="DS109" s="24" t="s">
        <v>51</v>
      </c>
      <c r="DT109" s="24" t="s">
        <v>51</v>
      </c>
      <c r="DU109" s="24" t="s">
        <v>51</v>
      </c>
      <c r="DV109" s="24" t="s">
        <v>51</v>
      </c>
      <c r="DW109" s="43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</row>
    <row r="110" spans="1:268" s="87" customFormat="1" ht="15.75" customHeight="1">
      <c r="A110" s="305" t="s">
        <v>79</v>
      </c>
      <c r="B110" s="306"/>
      <c r="C110" s="17">
        <f>'[1]прогноз '!B102</f>
        <v>0</v>
      </c>
      <c r="D110" s="17">
        <f>'[1]прогноз '!C102</f>
        <v>0</v>
      </c>
      <c r="E110" s="17"/>
      <c r="F110" s="17"/>
      <c r="G110" s="17"/>
      <c r="H110" s="17"/>
      <c r="I110" s="17"/>
      <c r="J110" s="17"/>
      <c r="K110" s="17">
        <f t="shared" si="404"/>
        <v>0</v>
      </c>
      <c r="L110" s="17">
        <f t="shared" si="404"/>
        <v>0</v>
      </c>
      <c r="M110" s="17"/>
      <c r="N110" s="17"/>
      <c r="O110" s="17">
        <f t="shared" si="405"/>
        <v>0</v>
      </c>
      <c r="P110" s="17">
        <f t="shared" si="405"/>
        <v>0</v>
      </c>
      <c r="Q110" s="17"/>
      <c r="R110" s="17"/>
      <c r="S110" s="17">
        <f t="shared" si="406"/>
        <v>0</v>
      </c>
      <c r="T110" s="17">
        <f t="shared" si="406"/>
        <v>0</v>
      </c>
      <c r="U110" s="17"/>
      <c r="V110" s="17"/>
      <c r="W110" s="17">
        <f t="shared" si="407"/>
        <v>0</v>
      </c>
      <c r="X110" s="17">
        <f t="shared" si="407"/>
        <v>0</v>
      </c>
      <c r="Y110" s="17"/>
      <c r="Z110" s="17"/>
      <c r="AA110" s="17">
        <f t="shared" si="408"/>
        <v>0</v>
      </c>
      <c r="AB110" s="17">
        <f t="shared" si="408"/>
        <v>0</v>
      </c>
      <c r="AC110" s="17"/>
      <c r="AD110" s="17"/>
      <c r="AE110" s="17">
        <f t="shared" si="409"/>
        <v>0</v>
      </c>
      <c r="AF110" s="17">
        <f t="shared" si="409"/>
        <v>0</v>
      </c>
      <c r="AG110" s="17"/>
      <c r="AH110" s="17"/>
      <c r="AI110" s="17">
        <f t="shared" si="410"/>
        <v>0</v>
      </c>
      <c r="AJ110" s="17">
        <f t="shared" si="410"/>
        <v>0</v>
      </c>
      <c r="AK110" s="17"/>
      <c r="AL110" s="17"/>
      <c r="AM110" s="17">
        <f t="shared" si="411"/>
        <v>0</v>
      </c>
      <c r="AN110" s="17">
        <f t="shared" si="411"/>
        <v>0</v>
      </c>
      <c r="AO110" s="17"/>
      <c r="AP110" s="17"/>
      <c r="AQ110" s="17">
        <f t="shared" si="412"/>
        <v>0</v>
      </c>
      <c r="AR110" s="17">
        <f t="shared" si="412"/>
        <v>0</v>
      </c>
      <c r="AS110" s="17"/>
      <c r="AT110" s="17"/>
      <c r="AU110" s="17">
        <f t="shared" si="413"/>
        <v>0</v>
      </c>
      <c r="AV110" s="17">
        <f t="shared" si="413"/>
        <v>0</v>
      </c>
      <c r="AW110" s="17"/>
      <c r="AX110" s="17"/>
      <c r="AY110" s="17" t="s">
        <v>51</v>
      </c>
      <c r="AZ110" s="17" t="s">
        <v>51</v>
      </c>
      <c r="BA110" s="20" t="s">
        <v>51</v>
      </c>
      <c r="BB110" s="20" t="s">
        <v>51</v>
      </c>
      <c r="BC110" s="17"/>
      <c r="BD110" s="17"/>
      <c r="BE110" s="17"/>
      <c r="BF110" s="17"/>
      <c r="BG110" s="17">
        <f t="shared" si="414"/>
        <v>0</v>
      </c>
      <c r="BH110" s="17">
        <f t="shared" si="414"/>
        <v>0</v>
      </c>
      <c r="BI110" s="20" t="s">
        <v>51</v>
      </c>
      <c r="BJ110" s="20" t="s">
        <v>51</v>
      </c>
      <c r="BK110" s="17"/>
      <c r="BL110" s="99"/>
      <c r="BM110" s="17">
        <f t="shared" si="415"/>
        <v>0</v>
      </c>
      <c r="BN110" s="17">
        <f t="shared" si="415"/>
        <v>0</v>
      </c>
      <c r="BO110" s="20" t="s">
        <v>51</v>
      </c>
      <c r="BP110" s="20" t="s">
        <v>51</v>
      </c>
      <c r="BQ110" s="17"/>
      <c r="BR110" s="17"/>
      <c r="BS110" s="17">
        <f t="shared" si="416"/>
        <v>0</v>
      </c>
      <c r="BT110" s="17">
        <f t="shared" si="416"/>
        <v>0</v>
      </c>
      <c r="BU110" s="20" t="s">
        <v>51</v>
      </c>
      <c r="BV110" s="20" t="s">
        <v>51</v>
      </c>
      <c r="BW110" s="17"/>
      <c r="BX110" s="17"/>
      <c r="BY110" s="17">
        <f t="shared" si="417"/>
        <v>0</v>
      </c>
      <c r="BZ110" s="17">
        <f t="shared" si="417"/>
        <v>0</v>
      </c>
      <c r="CA110" s="20" t="s">
        <v>51</v>
      </c>
      <c r="CB110" s="20" t="s">
        <v>51</v>
      </c>
      <c r="CC110" s="17"/>
      <c r="CD110" s="17"/>
      <c r="CE110" s="17">
        <f t="shared" si="418"/>
        <v>0</v>
      </c>
      <c r="CF110" s="17">
        <f t="shared" si="418"/>
        <v>0</v>
      </c>
      <c r="CG110" s="20" t="s">
        <v>51</v>
      </c>
      <c r="CH110" s="20" t="s">
        <v>51</v>
      </c>
      <c r="CI110" s="17"/>
      <c r="CJ110" s="17"/>
      <c r="CK110" s="17">
        <f t="shared" si="419"/>
        <v>0</v>
      </c>
      <c r="CL110" s="17">
        <f t="shared" si="419"/>
        <v>0</v>
      </c>
      <c r="CM110" s="20" t="s">
        <v>51</v>
      </c>
      <c r="CN110" s="20" t="s">
        <v>51</v>
      </c>
      <c r="CO110" s="17"/>
      <c r="CP110" s="17"/>
      <c r="CQ110" s="17">
        <f t="shared" si="420"/>
        <v>0</v>
      </c>
      <c r="CR110" s="17">
        <f t="shared" si="420"/>
        <v>0</v>
      </c>
      <c r="CS110" s="20" t="s">
        <v>51</v>
      </c>
      <c r="CT110" s="20" t="s">
        <v>51</v>
      </c>
      <c r="CU110" s="17"/>
      <c r="CV110" s="17"/>
      <c r="CW110" s="17">
        <f t="shared" si="421"/>
        <v>0</v>
      </c>
      <c r="CX110" s="17">
        <f t="shared" si="421"/>
        <v>0</v>
      </c>
      <c r="CY110" s="20" t="s">
        <v>51</v>
      </c>
      <c r="CZ110" s="20" t="s">
        <v>51</v>
      </c>
      <c r="DA110" s="17"/>
      <c r="DB110" s="17"/>
      <c r="DC110" s="17">
        <f t="shared" si="422"/>
        <v>0</v>
      </c>
      <c r="DD110" s="17">
        <f t="shared" si="422"/>
        <v>0</v>
      </c>
      <c r="DE110" s="20" t="s">
        <v>51</v>
      </c>
      <c r="DF110" s="20" t="s">
        <v>51</v>
      </c>
      <c r="DG110" s="17"/>
      <c r="DH110" s="17"/>
      <c r="DI110" s="17">
        <f t="shared" si="423"/>
        <v>0</v>
      </c>
      <c r="DJ110" s="17">
        <f t="shared" si="423"/>
        <v>0</v>
      </c>
      <c r="DK110" s="20" t="s">
        <v>51</v>
      </c>
      <c r="DL110" s="20" t="s">
        <v>51</v>
      </c>
      <c r="DM110" s="17"/>
      <c r="DN110" s="17"/>
      <c r="DO110" s="17"/>
      <c r="DP110" s="17"/>
      <c r="DQ110" s="17"/>
      <c r="DR110" s="17"/>
      <c r="DS110" s="20" t="s">
        <v>51</v>
      </c>
      <c r="DT110" s="20" t="s">
        <v>51</v>
      </c>
      <c r="DU110" s="20" t="s">
        <v>51</v>
      </c>
      <c r="DV110" s="20" t="s">
        <v>51</v>
      </c>
      <c r="DW110" s="44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</row>
    <row r="111" spans="1:268" s="82" customFormat="1" ht="17.25">
      <c r="A111" s="224" t="s">
        <v>134</v>
      </c>
      <c r="B111" s="225"/>
      <c r="C111" s="115"/>
      <c r="D111" s="115"/>
      <c r="E111" s="115"/>
      <c r="F111" s="115"/>
      <c r="G111" s="115"/>
      <c r="H111" s="115"/>
      <c r="I111" s="115"/>
      <c r="J111" s="115"/>
      <c r="K111" s="117">
        <f t="shared" ref="K111:L111" si="424">G111+I111</f>
        <v>0</v>
      </c>
      <c r="L111" s="117">
        <f t="shared" si="424"/>
        <v>0</v>
      </c>
      <c r="M111" s="115"/>
      <c r="N111" s="115"/>
      <c r="O111" s="117">
        <f t="shared" ref="O111:P111" si="425">K111+M111</f>
        <v>0</v>
      </c>
      <c r="P111" s="117">
        <f t="shared" si="425"/>
        <v>0</v>
      </c>
      <c r="Q111" s="115"/>
      <c r="R111" s="115"/>
      <c r="S111" s="117">
        <f t="shared" ref="S111:T111" si="426">O111+Q111</f>
        <v>0</v>
      </c>
      <c r="T111" s="117">
        <f t="shared" si="426"/>
        <v>0</v>
      </c>
      <c r="U111" s="115"/>
      <c r="V111" s="115"/>
      <c r="W111" s="117">
        <f t="shared" ref="W111:X111" si="427">S111+U111</f>
        <v>0</v>
      </c>
      <c r="X111" s="117">
        <f t="shared" si="427"/>
        <v>0</v>
      </c>
      <c r="Y111" s="115"/>
      <c r="Z111" s="115"/>
      <c r="AA111" s="117">
        <f t="shared" ref="AA111:AB111" si="428">W111+Y111</f>
        <v>0</v>
      </c>
      <c r="AB111" s="117">
        <f t="shared" si="428"/>
        <v>0</v>
      </c>
      <c r="AC111" s="115"/>
      <c r="AD111" s="115"/>
      <c r="AE111" s="117">
        <f t="shared" ref="AE111:AF111" si="429">AA111+AC111</f>
        <v>0</v>
      </c>
      <c r="AF111" s="117">
        <f t="shared" si="429"/>
        <v>0</v>
      </c>
      <c r="AG111" s="115"/>
      <c r="AH111" s="115"/>
      <c r="AI111" s="117">
        <f t="shared" ref="AI111:AJ111" si="430">AE111+AG111</f>
        <v>0</v>
      </c>
      <c r="AJ111" s="117">
        <f t="shared" si="430"/>
        <v>0</v>
      </c>
      <c r="AK111" s="115"/>
      <c r="AL111" s="116"/>
      <c r="AM111" s="117">
        <f t="shared" ref="AM111:AN111" si="431">AI111+AK111</f>
        <v>0</v>
      </c>
      <c r="AN111" s="117">
        <f t="shared" si="431"/>
        <v>0</v>
      </c>
      <c r="AO111" s="115"/>
      <c r="AP111" s="115"/>
      <c r="AQ111" s="117">
        <f t="shared" ref="AQ111:AR111" si="432">AM111+AO111</f>
        <v>0</v>
      </c>
      <c r="AR111" s="117">
        <f t="shared" si="432"/>
        <v>0</v>
      </c>
      <c r="AS111" s="115"/>
      <c r="AT111" s="115"/>
      <c r="AU111" s="117">
        <f t="shared" ref="AU111:AV111" si="433">AQ111+AS111</f>
        <v>0</v>
      </c>
      <c r="AV111" s="117">
        <f t="shared" si="433"/>
        <v>0</v>
      </c>
      <c r="AW111" s="115"/>
      <c r="AX111" s="115"/>
      <c r="AY111" s="115"/>
      <c r="AZ111" s="115"/>
      <c r="BA111" s="19">
        <f t="shared" ref="BA111:BB111" si="434">IF(E111=0,1,AY111/E111-1)</f>
        <v>1</v>
      </c>
      <c r="BB111" s="19">
        <f t="shared" si="434"/>
        <v>1</v>
      </c>
      <c r="BC111" s="115"/>
      <c r="BD111" s="115"/>
      <c r="BE111" s="115"/>
      <c r="BF111" s="115"/>
      <c r="BG111" s="117">
        <f t="shared" ref="BG111:BH111" si="435">BC111+BE111</f>
        <v>0</v>
      </c>
      <c r="BH111" s="117">
        <f t="shared" si="435"/>
        <v>0</v>
      </c>
      <c r="BI111" s="19">
        <f t="shared" ref="BI111:BJ111" si="436">IF(K111=0,1,BG111/K111-1)</f>
        <v>1</v>
      </c>
      <c r="BJ111" s="19">
        <f t="shared" si="436"/>
        <v>1</v>
      </c>
      <c r="BK111" s="115"/>
      <c r="BL111" s="115"/>
      <c r="BM111" s="117">
        <f t="shared" ref="BM111:BN111" si="437">BG111+BK111</f>
        <v>0</v>
      </c>
      <c r="BN111" s="117">
        <f t="shared" si="437"/>
        <v>0</v>
      </c>
      <c r="BO111" s="19">
        <f t="shared" ref="BO111:BP111" si="438">IF(O111=0,1,BM111/O111-1)</f>
        <v>1</v>
      </c>
      <c r="BP111" s="19">
        <f t="shared" si="438"/>
        <v>1</v>
      </c>
      <c r="BQ111" s="115"/>
      <c r="BR111" s="115"/>
      <c r="BS111" s="117">
        <f t="shared" ref="BS111:BT111" si="439">BM111+BQ111</f>
        <v>0</v>
      </c>
      <c r="BT111" s="117">
        <f t="shared" si="439"/>
        <v>0</v>
      </c>
      <c r="BU111" s="19">
        <f t="shared" ref="BU111:BV111" si="440">IF(S111=0,1,BS111/S111-1)</f>
        <v>1</v>
      </c>
      <c r="BV111" s="19">
        <f t="shared" si="440"/>
        <v>1</v>
      </c>
      <c r="BW111" s="115"/>
      <c r="BX111" s="115"/>
      <c r="BY111" s="117">
        <f t="shared" ref="BY111:BZ111" si="441">BS111+BW111</f>
        <v>0</v>
      </c>
      <c r="BZ111" s="117">
        <f t="shared" si="441"/>
        <v>0</v>
      </c>
      <c r="CA111" s="19">
        <f t="shared" ref="CA111:CB111" si="442">IF(W111=0,1,BY111/W111-1)</f>
        <v>1</v>
      </c>
      <c r="CB111" s="19">
        <f t="shared" si="442"/>
        <v>1</v>
      </c>
      <c r="CC111" s="115"/>
      <c r="CD111" s="115"/>
      <c r="CE111" s="117">
        <f t="shared" ref="CE111:CF111" si="443">BY111+CC111</f>
        <v>0</v>
      </c>
      <c r="CF111" s="117">
        <f t="shared" si="443"/>
        <v>0</v>
      </c>
      <c r="CG111" s="19">
        <f t="shared" ref="CG111:CH111" si="444">IF(AA111=0,1,CE111/AA111-1)</f>
        <v>1</v>
      </c>
      <c r="CH111" s="19">
        <f t="shared" si="444"/>
        <v>1</v>
      </c>
      <c r="CI111" s="115"/>
      <c r="CJ111" s="115"/>
      <c r="CK111" s="117">
        <f t="shared" ref="CK111:CL111" si="445">CE111+CI111</f>
        <v>0</v>
      </c>
      <c r="CL111" s="117">
        <f t="shared" si="445"/>
        <v>0</v>
      </c>
      <c r="CM111" s="19">
        <f t="shared" ref="CM111:CN111" si="446">IF(AE111=0,1,CK111/AE111-1)</f>
        <v>1</v>
      </c>
      <c r="CN111" s="19">
        <f t="shared" si="446"/>
        <v>1</v>
      </c>
      <c r="CO111" s="115"/>
      <c r="CP111" s="115"/>
      <c r="CQ111" s="117">
        <f t="shared" ref="CQ111:CR111" si="447">CK111+CO111</f>
        <v>0</v>
      </c>
      <c r="CR111" s="117">
        <f t="shared" si="447"/>
        <v>0</v>
      </c>
      <c r="CS111" s="19">
        <f t="shared" ref="CS111:CT111" si="448">IF(AI111=0,1,CQ111/AI111-1)</f>
        <v>1</v>
      </c>
      <c r="CT111" s="19">
        <f t="shared" si="448"/>
        <v>1</v>
      </c>
      <c r="CU111" s="115"/>
      <c r="CV111" s="115"/>
      <c r="CW111" s="117">
        <f t="shared" ref="CW111:CX111" si="449">CQ111+CU111</f>
        <v>0</v>
      </c>
      <c r="CX111" s="117">
        <f t="shared" si="449"/>
        <v>0</v>
      </c>
      <c r="CY111" s="19">
        <f t="shared" ref="CY111:CZ111" si="450">IF(AM111=0,1,CW111/AM111-1)</f>
        <v>1</v>
      </c>
      <c r="CZ111" s="19">
        <f t="shared" si="450"/>
        <v>1</v>
      </c>
      <c r="DA111" s="115"/>
      <c r="DB111" s="115"/>
      <c r="DC111" s="117">
        <f t="shared" ref="DC111:DD111" si="451">CW111+DA111</f>
        <v>0</v>
      </c>
      <c r="DD111" s="117">
        <f t="shared" si="451"/>
        <v>0</v>
      </c>
      <c r="DE111" s="19">
        <f t="shared" ref="DE111:DF111" si="452">IF(AQ111=0,1,DC111/AQ111-1)</f>
        <v>1</v>
      </c>
      <c r="DF111" s="19">
        <f t="shared" si="452"/>
        <v>1</v>
      </c>
      <c r="DG111" s="115"/>
      <c r="DH111" s="115"/>
      <c r="DI111" s="117">
        <f t="shared" ref="DI111:DJ111" si="453">DC111+DG111</f>
        <v>0</v>
      </c>
      <c r="DJ111" s="117">
        <f t="shared" si="453"/>
        <v>0</v>
      </c>
      <c r="DK111" s="19">
        <f t="shared" ref="DK111:DL111" si="454">IF(AU111=0,1,DI111/AU111-1)</f>
        <v>1</v>
      </c>
      <c r="DL111" s="19">
        <f t="shared" si="454"/>
        <v>1</v>
      </c>
      <c r="DM111" s="115"/>
      <c r="DN111" s="115"/>
      <c r="DO111" s="115"/>
      <c r="DP111" s="115"/>
      <c r="DQ111" s="115"/>
      <c r="DR111" s="115"/>
      <c r="DS111" s="19">
        <f>IF($AY$23=0,1,DQ111/$AY$23-1)</f>
        <v>1</v>
      </c>
      <c r="DT111" s="19">
        <f>IF($AZ$23=0,1,DR111/$AZ$23-1)</f>
        <v>1</v>
      </c>
      <c r="DU111" s="19">
        <f>IF($E$23=0,1,DQ111/$E$23-1)</f>
        <v>1</v>
      </c>
      <c r="DV111" s="19">
        <f>IF($E$23=0,1,DR111/$E$23-1)</f>
        <v>1</v>
      </c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</row>
    <row r="112" spans="1:268" s="66" customFormat="1">
      <c r="A112" s="89"/>
      <c r="B112" s="89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91"/>
      <c r="DW112" s="91"/>
      <c r="DX112" s="91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</row>
    <row r="113" spans="1:268" s="66" customFormat="1">
      <c r="A113" s="89"/>
      <c r="B113" s="89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91"/>
      <c r="DW113" s="91"/>
      <c r="DX113" s="91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</row>
    <row r="114" spans="1:268" s="66" customFormat="1">
      <c r="A114" s="89"/>
      <c r="B114" s="89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91"/>
      <c r="DW114" s="91"/>
      <c r="DX114" s="91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</row>
    <row r="115" spans="1:268" s="66" customFormat="1">
      <c r="A115" s="89"/>
      <c r="B115" s="89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91"/>
      <c r="DW115" s="91"/>
      <c r="DX115" s="91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</row>
    <row r="116" spans="1:268" s="66" customFormat="1">
      <c r="A116" s="89"/>
      <c r="B116" s="89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91"/>
      <c r="DW116" s="91"/>
      <c r="DX116" s="91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</row>
    <row r="117" spans="1:268" s="66" customFormat="1">
      <c r="A117" s="89"/>
      <c r="B117" s="89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91"/>
      <c r="DW117" s="91"/>
      <c r="DX117" s="91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</row>
    <row r="118" spans="1:268" s="66" customFormat="1">
      <c r="A118" s="89"/>
      <c r="B118" s="89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91"/>
      <c r="DW118" s="91"/>
      <c r="DX118" s="91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</row>
    <row r="119" spans="1:268" s="66" customFormat="1">
      <c r="A119" s="89"/>
      <c r="B119" s="89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91"/>
      <c r="DW119" s="91"/>
      <c r="DX119" s="91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>
      <c r="A120" s="89"/>
      <c r="B120" s="89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91"/>
      <c r="DW120" s="91"/>
      <c r="DX120" s="91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>
      <c r="A121" s="89"/>
      <c r="B121" s="89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91"/>
      <c r="DW121" s="91"/>
      <c r="DX121" s="91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>
      <c r="A122" s="89"/>
      <c r="B122" s="89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91"/>
      <c r="DW122" s="91"/>
      <c r="DX122" s="91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>
      <c r="A123" s="89"/>
      <c r="B123" s="89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91"/>
      <c r="DW123" s="91"/>
      <c r="DX123" s="91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>
      <c r="A124" s="89"/>
      <c r="B124" s="89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91"/>
      <c r="DW124" s="91"/>
      <c r="DX124" s="91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>
      <c r="A125" s="89"/>
      <c r="B125" s="89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91"/>
      <c r="DW125" s="91"/>
      <c r="DX125" s="91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>
      <c r="A126" s="89"/>
      <c r="B126" s="89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91"/>
      <c r="DW126" s="91"/>
      <c r="DX126" s="91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>
      <c r="A127" s="89"/>
      <c r="B127" s="89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91"/>
      <c r="DW127" s="91"/>
      <c r="DX127" s="91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66" customFormat="1">
      <c r="A128" s="89"/>
      <c r="B128" s="89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91"/>
      <c r="DW128" s="91"/>
      <c r="DX128" s="91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66" customFormat="1">
      <c r="A129" s="89"/>
      <c r="B129" s="89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91"/>
      <c r="DW129" s="91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91"/>
      <c r="DW130" s="91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34" customFormat="1">
      <c r="A156" s="45"/>
      <c r="B156" s="45"/>
      <c r="C156" s="45"/>
      <c r="D156" s="45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47"/>
      <c r="DW156" s="47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47"/>
      <c r="DW157" s="47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47"/>
      <c r="DW158" s="47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47"/>
      <c r="DW159" s="47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47"/>
      <c r="DW160" s="47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47"/>
      <c r="DW161" s="47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47"/>
      <c r="DW162" s="47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47"/>
      <c r="DW163" s="47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47"/>
      <c r="DW164" s="47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47"/>
      <c r="DW165" s="47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47"/>
      <c r="DW166" s="47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47"/>
      <c r="DW167" s="47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47"/>
      <c r="DW168" s="47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47"/>
      <c r="DW169" s="47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47"/>
      <c r="DW170" s="47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47"/>
      <c r="DW171" s="47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47"/>
      <c r="DW172" s="47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47"/>
      <c r="DW173" s="47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47"/>
      <c r="DW174" s="47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2" customFormat="1">
      <c r="A265" s="48"/>
      <c r="B265" s="48"/>
      <c r="C265" s="48"/>
      <c r="D265" s="48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DV265" s="1"/>
      <c r="DW265" s="1"/>
      <c r="DX265" s="1"/>
    </row>
    <row r="266" spans="1:268" s="2" customFormat="1">
      <c r="A266" s="48"/>
      <c r="B266" s="48"/>
      <c r="C266" s="48"/>
      <c r="D266" s="48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DV266" s="1"/>
      <c r="DW266" s="1"/>
      <c r="DX266" s="1"/>
    </row>
    <row r="267" spans="1:268" s="2" customFormat="1">
      <c r="A267" s="48"/>
      <c r="B267" s="48"/>
      <c r="C267" s="48"/>
      <c r="D267" s="4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DV267" s="1"/>
      <c r="DW267" s="1"/>
      <c r="DX267" s="1"/>
    </row>
    <row r="268" spans="1:268" s="2" customFormat="1">
      <c r="A268" s="48"/>
      <c r="B268" s="48"/>
      <c r="C268" s="48"/>
      <c r="D268" s="48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DV268" s="1"/>
      <c r="DW268" s="1"/>
      <c r="DX268" s="1"/>
    </row>
    <row r="269" spans="1:268" s="2" customFormat="1">
      <c r="A269" s="48"/>
      <c r="B269" s="48"/>
      <c r="C269" s="48"/>
      <c r="D269" s="48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DV269" s="1"/>
      <c r="DW269" s="1"/>
      <c r="DX269" s="1"/>
    </row>
    <row r="270" spans="1:268" s="2" customFormat="1">
      <c r="A270" s="48"/>
      <c r="B270" s="48"/>
      <c r="C270" s="48"/>
      <c r="D270" s="48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DV270" s="1"/>
      <c r="DW270" s="1"/>
      <c r="DX270" s="1"/>
    </row>
    <row r="271" spans="1:268" s="2" customFormat="1">
      <c r="A271" s="48"/>
      <c r="B271" s="48"/>
      <c r="C271" s="48"/>
      <c r="D271" s="4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DV271" s="1"/>
      <c r="DW271" s="1"/>
      <c r="DX271" s="1"/>
    </row>
    <row r="272" spans="1:268" s="2" customFormat="1">
      <c r="A272" s="48"/>
      <c r="B272" s="48"/>
      <c r="C272" s="48"/>
      <c r="D272" s="48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DV272" s="1"/>
      <c r="DW272" s="1"/>
      <c r="DX272" s="1"/>
    </row>
    <row r="273" spans="1:128" s="2" customFormat="1">
      <c r="A273" s="48"/>
      <c r="B273" s="48"/>
      <c r="C273" s="48"/>
      <c r="D273" s="48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DV273" s="1"/>
      <c r="DW273" s="1"/>
      <c r="DX273" s="1"/>
    </row>
    <row r="274" spans="1:128" s="2" customFormat="1">
      <c r="A274" s="48"/>
      <c r="B274" s="48"/>
      <c r="C274" s="48"/>
      <c r="D274" s="48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DV274" s="1"/>
      <c r="DW274" s="1"/>
      <c r="DX274" s="1"/>
    </row>
    <row r="275" spans="1:128" s="2" customFormat="1">
      <c r="A275" s="48"/>
      <c r="B275" s="48"/>
      <c r="C275" s="48"/>
      <c r="D275" s="48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DV275" s="1"/>
      <c r="DW275" s="1"/>
      <c r="DX275" s="1"/>
    </row>
    <row r="276" spans="1:128" s="2" customFormat="1">
      <c r="A276" s="48"/>
      <c r="B276" s="48"/>
      <c r="C276" s="48"/>
      <c r="D276" s="48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DV276" s="1"/>
      <c r="DW276" s="1"/>
      <c r="DX276" s="1"/>
    </row>
    <row r="277" spans="1:128" s="2" customFormat="1">
      <c r="A277" s="48"/>
      <c r="B277" s="48"/>
      <c r="C277" s="48"/>
      <c r="D277" s="48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DV277" s="1"/>
      <c r="DW277" s="1"/>
      <c r="DX277" s="1"/>
    </row>
    <row r="278" spans="1:128" s="2" customFormat="1">
      <c r="A278" s="48"/>
      <c r="B278" s="48"/>
      <c r="C278" s="48"/>
      <c r="D278" s="48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DV278" s="1"/>
      <c r="DW278" s="1"/>
      <c r="DX278" s="1"/>
    </row>
    <row r="279" spans="1:128" s="2" customFormat="1">
      <c r="A279" s="48"/>
      <c r="B279" s="48"/>
      <c r="C279" s="48"/>
      <c r="D279" s="48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DV279" s="1"/>
      <c r="DW279" s="1"/>
      <c r="DX279" s="1"/>
    </row>
    <row r="280" spans="1:128" s="2" customFormat="1">
      <c r="A280" s="48"/>
      <c r="B280" s="48"/>
      <c r="C280" s="48"/>
      <c r="D280" s="48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DV280" s="1"/>
      <c r="DW280" s="1"/>
      <c r="DX280" s="1"/>
    </row>
    <row r="281" spans="1:128" s="2" customFormat="1">
      <c r="A281" s="48"/>
      <c r="B281" s="48"/>
      <c r="C281" s="48"/>
      <c r="D281" s="48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DV281" s="1"/>
      <c r="DW281" s="1"/>
      <c r="DX281" s="1"/>
    </row>
    <row r="282" spans="1:128" s="2" customFormat="1">
      <c r="A282" s="48"/>
      <c r="B282" s="48"/>
      <c r="C282" s="48"/>
      <c r="D282" s="48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DV282" s="1"/>
      <c r="DW282" s="1"/>
      <c r="DX282" s="1"/>
    </row>
    <row r="283" spans="1:128" s="2" customFormat="1">
      <c r="A283" s="48"/>
      <c r="B283" s="48"/>
      <c r="C283" s="48"/>
      <c r="D283" s="48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DV283" s="1"/>
      <c r="DW283" s="1"/>
      <c r="DX283" s="1"/>
    </row>
    <row r="284" spans="1:12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12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12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12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12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</sheetData>
  <mergeCells count="232">
    <mergeCell ref="DK6:DL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DA6:DB6"/>
    <mergeCell ref="DC6:DD6"/>
    <mergeCell ref="DE6:DF6"/>
    <mergeCell ref="DG6:DH6"/>
    <mergeCell ref="DI6:DJ6"/>
    <mergeCell ref="AC6:AD6"/>
    <mergeCell ref="AE6:AF6"/>
    <mergeCell ref="AG6:AH6"/>
    <mergeCell ref="AI6:AJ6"/>
    <mergeCell ref="AK6:AL6"/>
    <mergeCell ref="AM6:AN6"/>
    <mergeCell ref="BQ6:BR6"/>
    <mergeCell ref="BG6:BH6"/>
    <mergeCell ref="BI6:BJ6"/>
    <mergeCell ref="BK6:BL6"/>
    <mergeCell ref="K6:L6"/>
    <mergeCell ref="DM6:DN6"/>
    <mergeCell ref="DO6:DP6"/>
    <mergeCell ref="M6:N6"/>
    <mergeCell ref="O6:P6"/>
    <mergeCell ref="CK6:CL6"/>
    <mergeCell ref="CM6:CN6"/>
    <mergeCell ref="C1:DV1"/>
    <mergeCell ref="C2:DV2"/>
    <mergeCell ref="Q6:R6"/>
    <mergeCell ref="S6:T6"/>
    <mergeCell ref="U6:V6"/>
    <mergeCell ref="W6:X6"/>
    <mergeCell ref="Y6:Z6"/>
    <mergeCell ref="AA6:AB6"/>
    <mergeCell ref="BA5:BB6"/>
    <mergeCell ref="BC5:DP5"/>
    <mergeCell ref="DQ5:DR6"/>
    <mergeCell ref="AO6:AP6"/>
    <mergeCell ref="AQ6:AR6"/>
    <mergeCell ref="AS6:AT6"/>
    <mergeCell ref="AU6:AV6"/>
    <mergeCell ref="AW6:AX6"/>
    <mergeCell ref="BC6:BD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8:B8"/>
    <mergeCell ref="A9:B9"/>
    <mergeCell ref="A10:B10"/>
    <mergeCell ref="A12:B12"/>
    <mergeCell ref="BS6:BT6"/>
    <mergeCell ref="BU6:BV6"/>
    <mergeCell ref="BW6:BX6"/>
    <mergeCell ref="BY6:BZ6"/>
    <mergeCell ref="CA6:CB6"/>
    <mergeCell ref="BE6:BF6"/>
    <mergeCell ref="A4:B7"/>
    <mergeCell ref="C4:D4"/>
    <mergeCell ref="BM6:BN6"/>
    <mergeCell ref="BO6:BP6"/>
    <mergeCell ref="E4:AX4"/>
    <mergeCell ref="AY4:DV4"/>
    <mergeCell ref="C5:D6"/>
    <mergeCell ref="E5:F6"/>
    <mergeCell ref="G5:AX5"/>
    <mergeCell ref="AY5:AZ6"/>
    <mergeCell ref="DS5:DT6"/>
    <mergeCell ref="DU5:DV6"/>
    <mergeCell ref="G6:H6"/>
    <mergeCell ref="I6:J6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M97:N97"/>
    <mergeCell ref="O97:P97"/>
    <mergeCell ref="Q97:R97"/>
    <mergeCell ref="S97:T97"/>
    <mergeCell ref="U97:V97"/>
    <mergeCell ref="W97:X97"/>
    <mergeCell ref="A97:B97"/>
    <mergeCell ref="C97:D97"/>
    <mergeCell ref="E97:F97"/>
    <mergeCell ref="G97:H97"/>
    <mergeCell ref="I97:J97"/>
    <mergeCell ref="K97:L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CG97:CH97"/>
    <mergeCell ref="CI97:CJ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DK97:DL97"/>
    <mergeCell ref="DM97:DN97"/>
    <mergeCell ref="DO97:DP97"/>
    <mergeCell ref="DQ97:DR97"/>
    <mergeCell ref="DS97:DT97"/>
    <mergeCell ref="DU97:DV97"/>
    <mergeCell ref="CS97:CT97"/>
    <mergeCell ref="CU97:CV97"/>
    <mergeCell ref="CY97:CZ97"/>
    <mergeCell ref="DA97:DB97"/>
    <mergeCell ref="DE97:DF97"/>
    <mergeCell ref="DG97:DH97"/>
    <mergeCell ref="A110:B110"/>
    <mergeCell ref="A111:B11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</mergeCells>
  <printOptions horizontalCentered="1"/>
  <pageMargins left="0.15748031496062992" right="0.15748031496062992" top="0.26" bottom="0.17" header="0.15748031496062992" footer="0.15748031496062992"/>
  <pageSetup paperSize="8" scale="65" fitToWidth="3" fitToHeight="5" orientation="landscape" r:id="rId1"/>
  <headerFooter alignWithMargins="0"/>
  <rowBreaks count="1" manualBreakCount="1">
    <brk id="6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GX325"/>
  <sheetViews>
    <sheetView view="pageBreakPreview" zoomScale="75" zoomScaleNormal="70" zoomScaleSheetLayoutView="75" workbookViewId="0">
      <pane xSplit="2" ySplit="8" topLeftCell="C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D31" sqref="D31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6" width="16.6640625" style="51" customWidth="1"/>
    <col min="7" max="24" width="16.6640625" style="51" hidden="1" customWidth="1"/>
    <col min="25" max="26" width="16.6640625" style="51" customWidth="1"/>
    <col min="27" max="30" width="16.6640625" style="3" customWidth="1"/>
    <col min="31" max="57" width="16.6640625" style="3" hidden="1" customWidth="1"/>
    <col min="58" max="64" width="16.6640625" style="3" customWidth="1"/>
    <col min="65" max="65" width="16.6640625" style="1" customWidth="1"/>
    <col min="66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57" customHeight="1">
      <c r="A1" s="272" t="s">
        <v>159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</row>
    <row r="2" spans="1:206" ht="21.75" customHeight="1">
      <c r="A2" s="3"/>
      <c r="C2" s="278" t="s">
        <v>168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</row>
    <row r="3" spans="1:206" ht="15.75" customHeight="1"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8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61" t="s">
        <v>3</v>
      </c>
      <c r="B5" s="262"/>
      <c r="C5" s="100" t="s">
        <v>4</v>
      </c>
      <c r="D5" s="269" t="s">
        <v>169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 t="s">
        <v>170</v>
      </c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9"/>
    </row>
    <row r="6" spans="1:206" s="120" customFormat="1" ht="16.5" customHeight="1">
      <c r="A6" s="263"/>
      <c r="B6" s="264"/>
      <c r="C6" s="270" t="s">
        <v>149</v>
      </c>
      <c r="D6" s="271" t="s">
        <v>149</v>
      </c>
      <c r="E6" s="270" t="s">
        <v>8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 t="s">
        <v>150</v>
      </c>
      <c r="AB6" s="259" t="s">
        <v>96</v>
      </c>
      <c r="AC6" s="260" t="s">
        <v>10</v>
      </c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  <c r="BG6" s="260"/>
      <c r="BH6" s="260"/>
      <c r="BI6" s="260"/>
      <c r="BJ6" s="273" t="s">
        <v>125</v>
      </c>
      <c r="BK6" s="277" t="s">
        <v>126</v>
      </c>
      <c r="BL6" s="277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51.75" customHeight="1">
      <c r="A7" s="263"/>
      <c r="B7" s="264"/>
      <c r="C7" s="270"/>
      <c r="D7" s="271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70"/>
      <c r="AB7" s="259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79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">
        <v>117</v>
      </c>
      <c r="BJ7" s="275"/>
      <c r="BK7" s="277"/>
      <c r="BL7" s="277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65"/>
      <c r="B8" s="266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217" t="s">
        <v>29</v>
      </c>
      <c r="B9" s="218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252" t="s">
        <v>30</v>
      </c>
      <c r="B10" s="253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250" t="s">
        <v>31</v>
      </c>
      <c r="B11" s="251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customHeight="1">
      <c r="A12" s="136" t="s">
        <v>166</v>
      </c>
      <c r="B12" s="195"/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 t="e">
        <f>'пудожский район'!#REF!</f>
        <v>#REF!</v>
      </c>
      <c r="AD12" s="26" t="e">
        <f>'пудожский район'!#REF!</f>
        <v>#REF!</v>
      </c>
      <c r="AE12" s="134" t="e">
        <f t="shared" si="74"/>
        <v>#REF!</v>
      </c>
      <c r="AF12" s="135">
        <f t="shared" si="4"/>
        <v>1</v>
      </c>
      <c r="AG12" s="26" t="e">
        <f>'пудожский район'!#REF!</f>
        <v>#REF!</v>
      </c>
      <c r="AH12" s="134" t="e">
        <f t="shared" si="75"/>
        <v>#REF!</v>
      </c>
      <c r="AI12" s="135">
        <f t="shared" si="6"/>
        <v>1</v>
      </c>
      <c r="AJ12" s="26" t="e">
        <f>'пудожский район'!#REF!</f>
        <v>#REF!</v>
      </c>
      <c r="AK12" s="134" t="e">
        <f t="shared" si="76"/>
        <v>#REF!</v>
      </c>
      <c r="AL12" s="135">
        <f t="shared" si="8"/>
        <v>1</v>
      </c>
      <c r="AM12" s="26" t="e">
        <f>'пудожский район'!#REF!</f>
        <v>#REF!</v>
      </c>
      <c r="AN12" s="134" t="e">
        <f t="shared" si="77"/>
        <v>#REF!</v>
      </c>
      <c r="AO12" s="135">
        <f t="shared" si="10"/>
        <v>1</v>
      </c>
      <c r="AP12" s="26" t="e">
        <f>'пудожский район'!#REF!</f>
        <v>#REF!</v>
      </c>
      <c r="AQ12" s="134" t="e">
        <f t="shared" si="78"/>
        <v>#REF!</v>
      </c>
      <c r="AR12" s="135">
        <f t="shared" si="12"/>
        <v>1</v>
      </c>
      <c r="AS12" s="26" t="e">
        <f>'пудожский район'!#REF!</f>
        <v>#REF!</v>
      </c>
      <c r="AT12" s="134" t="e">
        <f t="shared" si="79"/>
        <v>#REF!</v>
      </c>
      <c r="AU12" s="135">
        <f t="shared" si="14"/>
        <v>1</v>
      </c>
      <c r="AV12" s="26" t="e">
        <f>'пудожский район'!#REF!</f>
        <v>#REF!</v>
      </c>
      <c r="AW12" s="134" t="e">
        <f t="shared" si="80"/>
        <v>#REF!</v>
      </c>
      <c r="AX12" s="135">
        <f t="shared" si="16"/>
        <v>1</v>
      </c>
      <c r="AY12" s="26" t="e">
        <f>'пудожский район'!#REF!</f>
        <v>#REF!</v>
      </c>
      <c r="AZ12" s="134" t="e">
        <f t="shared" si="81"/>
        <v>#REF!</v>
      </c>
      <c r="BA12" s="135">
        <f t="shared" si="18"/>
        <v>1</v>
      </c>
      <c r="BB12" s="26" t="e">
        <f>'пудожский район'!#REF!</f>
        <v>#REF!</v>
      </c>
      <c r="BC12" s="134" t="e">
        <f t="shared" si="82"/>
        <v>#REF!</v>
      </c>
      <c r="BD12" s="135">
        <f t="shared" si="20"/>
        <v>1</v>
      </c>
      <c r="BE12" s="26" t="e">
        <f>'пудожский район'!#REF!</f>
        <v>#REF!</v>
      </c>
      <c r="BF12" s="134" t="e">
        <f t="shared" si="83"/>
        <v>#REF!</v>
      </c>
      <c r="BG12" s="135">
        <f t="shared" si="22"/>
        <v>1</v>
      </c>
      <c r="BH12" s="26" t="e">
        <f>'пудожский район'!#REF!</f>
        <v>#REF!</v>
      </c>
      <c r="BI12" s="26" t="e">
        <f>'пудожский район'!#REF!</f>
        <v>#REF!</v>
      </c>
      <c r="BJ12" s="26" t="e">
        <f>'пудожский район'!#REF!</f>
        <v>#REF!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250" t="s">
        <v>32</v>
      </c>
      <c r="B13" s="251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250" t="s">
        <v>80</v>
      </c>
      <c r="B14" s="251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250" t="s">
        <v>33</v>
      </c>
      <c r="B15" s="251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250" t="s">
        <v>35</v>
      </c>
      <c r="B16" s="251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250" t="s">
        <v>36</v>
      </c>
      <c r="B17" s="251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250" t="s">
        <v>37</v>
      </c>
      <c r="B18" s="251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250" t="s">
        <v>38</v>
      </c>
      <c r="B19" s="251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250" t="s">
        <v>39</v>
      </c>
      <c r="B20" s="251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250" t="s">
        <v>40</v>
      </c>
      <c r="B21" s="251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250" t="s">
        <v>41</v>
      </c>
      <c r="B22" s="251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250" t="s">
        <v>89</v>
      </c>
      <c r="B23" s="251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250" t="s">
        <v>90</v>
      </c>
      <c r="B24" s="251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250" t="s">
        <v>42</v>
      </c>
      <c r="B25" s="251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250" t="s">
        <v>43</v>
      </c>
      <c r="B26" s="251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252" t="s">
        <v>44</v>
      </c>
      <c r="B27" s="253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236" t="s">
        <v>94</v>
      </c>
      <c r="B28" s="237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236" t="s">
        <v>45</v>
      </c>
      <c r="B29" s="237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236" t="s">
        <v>91</v>
      </c>
      <c r="B30" s="237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236" t="s">
        <v>46</v>
      </c>
      <c r="B31" s="237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236" t="s">
        <v>92</v>
      </c>
      <c r="B32" s="237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236" t="s">
        <v>142</v>
      </c>
      <c r="B33" s="237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236" t="s">
        <v>118</v>
      </c>
      <c r="B34" s="237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236" t="s">
        <v>48</v>
      </c>
      <c r="B35" s="237"/>
      <c r="C35" s="29"/>
      <c r="D35" s="134">
        <f t="shared" si="97"/>
        <v>0</v>
      </c>
      <c r="E35" s="31"/>
      <c r="F35" s="31"/>
      <c r="G35" s="134">
        <f t="shared" si="98"/>
        <v>0</v>
      </c>
      <c r="H35" s="31"/>
      <c r="I35" s="134">
        <f t="shared" si="99"/>
        <v>0</v>
      </c>
      <c r="J35" s="31"/>
      <c r="K35" s="134">
        <f t="shared" si="100"/>
        <v>0</v>
      </c>
      <c r="L35" s="31"/>
      <c r="M35" s="134">
        <f t="shared" si="101"/>
        <v>0</v>
      </c>
      <c r="N35" s="31"/>
      <c r="O35" s="134">
        <f t="shared" si="102"/>
        <v>0</v>
      </c>
      <c r="P35" s="31"/>
      <c r="Q35" s="134">
        <f t="shared" si="103"/>
        <v>0</v>
      </c>
      <c r="R35" s="31"/>
      <c r="S35" s="134">
        <f t="shared" si="104"/>
        <v>0</v>
      </c>
      <c r="T35" s="31"/>
      <c r="U35" s="134">
        <f t="shared" si="105"/>
        <v>0</v>
      </c>
      <c r="V35" s="31"/>
      <c r="W35" s="134">
        <f t="shared" si="106"/>
        <v>0</v>
      </c>
      <c r="X35" s="31"/>
      <c r="Y35" s="134">
        <f t="shared" si="107"/>
        <v>0</v>
      </c>
      <c r="Z35" s="31"/>
      <c r="AA35" s="31"/>
      <c r="AB35" s="135">
        <f t="shared" si="2"/>
        <v>1</v>
      </c>
      <c r="AC35" s="31"/>
      <c r="AD35" s="31"/>
      <c r="AE35" s="134">
        <f t="shared" si="108"/>
        <v>0</v>
      </c>
      <c r="AF35" s="135">
        <f t="shared" si="4"/>
        <v>1</v>
      </c>
      <c r="AG35" s="31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31"/>
      <c r="AN35" s="134">
        <f t="shared" si="111"/>
        <v>0</v>
      </c>
      <c r="AO35" s="135">
        <f t="shared" si="10"/>
        <v>1</v>
      </c>
      <c r="AP35" s="31"/>
      <c r="AQ35" s="134">
        <f t="shared" si="112"/>
        <v>0</v>
      </c>
      <c r="AR35" s="135">
        <f t="shared" si="12"/>
        <v>1</v>
      </c>
      <c r="AS35" s="31"/>
      <c r="AT35" s="134">
        <f t="shared" si="113"/>
        <v>0</v>
      </c>
      <c r="AU35" s="135">
        <f t="shared" si="14"/>
        <v>1</v>
      </c>
      <c r="AV35" s="31"/>
      <c r="AW35" s="134">
        <f t="shared" si="114"/>
        <v>0</v>
      </c>
      <c r="AX35" s="135">
        <f t="shared" si="16"/>
        <v>1</v>
      </c>
      <c r="AY35" s="31"/>
      <c r="AZ35" s="134">
        <f t="shared" si="115"/>
        <v>0</v>
      </c>
      <c r="BA35" s="135">
        <f t="shared" si="18"/>
        <v>1</v>
      </c>
      <c r="BB35" s="31"/>
      <c r="BC35" s="134">
        <f t="shared" si="116"/>
        <v>0</v>
      </c>
      <c r="BD35" s="135">
        <f t="shared" si="20"/>
        <v>1</v>
      </c>
      <c r="BE35" s="31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236" t="s">
        <v>93</v>
      </c>
      <c r="B36" s="237"/>
      <c r="C36" s="29"/>
      <c r="D36" s="134">
        <f t="shared" si="97"/>
        <v>0</v>
      </c>
      <c r="E36" s="31"/>
      <c r="F36" s="31"/>
      <c r="G36" s="134">
        <f t="shared" si="98"/>
        <v>0</v>
      </c>
      <c r="H36" s="31"/>
      <c r="I36" s="134">
        <f t="shared" si="99"/>
        <v>0</v>
      </c>
      <c r="J36" s="31"/>
      <c r="K36" s="134">
        <f t="shared" si="100"/>
        <v>0</v>
      </c>
      <c r="L36" s="31"/>
      <c r="M36" s="134">
        <f t="shared" si="101"/>
        <v>0</v>
      </c>
      <c r="N36" s="31"/>
      <c r="O36" s="134">
        <f t="shared" si="102"/>
        <v>0</v>
      </c>
      <c r="P36" s="31"/>
      <c r="Q36" s="134">
        <f t="shared" si="103"/>
        <v>0</v>
      </c>
      <c r="R36" s="31"/>
      <c r="S36" s="134">
        <f t="shared" si="104"/>
        <v>0</v>
      </c>
      <c r="T36" s="31"/>
      <c r="U36" s="134">
        <f t="shared" si="105"/>
        <v>0</v>
      </c>
      <c r="V36" s="31"/>
      <c r="W36" s="134">
        <f t="shared" si="106"/>
        <v>0</v>
      </c>
      <c r="X36" s="31"/>
      <c r="Y36" s="134">
        <f t="shared" si="107"/>
        <v>0</v>
      </c>
      <c r="Z36" s="31"/>
      <c r="AA36" s="31"/>
      <c r="AB36" s="135">
        <f t="shared" si="2"/>
        <v>1</v>
      </c>
      <c r="AC36" s="31"/>
      <c r="AD36" s="31"/>
      <c r="AE36" s="134">
        <f t="shared" si="108"/>
        <v>0</v>
      </c>
      <c r="AF36" s="135">
        <f t="shared" si="4"/>
        <v>1</v>
      </c>
      <c r="AG36" s="31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31"/>
      <c r="AN36" s="134">
        <f t="shared" si="111"/>
        <v>0</v>
      </c>
      <c r="AO36" s="135">
        <f t="shared" si="10"/>
        <v>1</v>
      </c>
      <c r="AP36" s="31"/>
      <c r="AQ36" s="134">
        <f t="shared" si="112"/>
        <v>0</v>
      </c>
      <c r="AR36" s="135">
        <f t="shared" si="12"/>
        <v>1</v>
      </c>
      <c r="AS36" s="31"/>
      <c r="AT36" s="134">
        <f t="shared" si="113"/>
        <v>0</v>
      </c>
      <c r="AU36" s="135">
        <f t="shared" si="14"/>
        <v>1</v>
      </c>
      <c r="AV36" s="31"/>
      <c r="AW36" s="134">
        <f t="shared" si="114"/>
        <v>0</v>
      </c>
      <c r="AX36" s="135">
        <f t="shared" si="16"/>
        <v>1</v>
      </c>
      <c r="AY36" s="31"/>
      <c r="AZ36" s="134">
        <f t="shared" si="115"/>
        <v>0</v>
      </c>
      <c r="BA36" s="135">
        <f t="shared" si="18"/>
        <v>1</v>
      </c>
      <c r="BB36" s="31"/>
      <c r="BC36" s="134">
        <f t="shared" si="116"/>
        <v>0</v>
      </c>
      <c r="BD36" s="135">
        <f t="shared" si="20"/>
        <v>1</v>
      </c>
      <c r="BE36" s="31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217" t="s">
        <v>49</v>
      </c>
      <c r="B37" s="218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248" t="s">
        <v>100</v>
      </c>
      <c r="B38" s="249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228" t="s">
        <v>105</v>
      </c>
      <c r="B39" s="229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228" t="s">
        <v>99</v>
      </c>
      <c r="B40" s="229"/>
      <c r="C40" s="29"/>
      <c r="D40" s="134">
        <f t="shared" si="142"/>
        <v>0</v>
      </c>
      <c r="E40" s="31"/>
      <c r="F40" s="31"/>
      <c r="G40" s="134">
        <f t="shared" si="143"/>
        <v>0</v>
      </c>
      <c r="H40" s="31"/>
      <c r="I40" s="134">
        <f>G40+H40</f>
        <v>0</v>
      </c>
      <c r="J40" s="31"/>
      <c r="K40" s="134">
        <f>I40+J40</f>
        <v>0</v>
      </c>
      <c r="L40" s="31"/>
      <c r="M40" s="134">
        <f>K40+L40</f>
        <v>0</v>
      </c>
      <c r="N40" s="31"/>
      <c r="O40" s="134">
        <f>M40+N40</f>
        <v>0</v>
      </c>
      <c r="P40" s="31"/>
      <c r="Q40" s="134">
        <f>O40+P40</f>
        <v>0</v>
      </c>
      <c r="R40" s="31"/>
      <c r="S40" s="134">
        <f>Q40+R40</f>
        <v>0</v>
      </c>
      <c r="T40" s="31"/>
      <c r="U40" s="134">
        <f>S40+T40</f>
        <v>0</v>
      </c>
      <c r="V40" s="31"/>
      <c r="W40" s="134">
        <f>U40+V40</f>
        <v>0</v>
      </c>
      <c r="X40" s="31"/>
      <c r="Y40" s="134">
        <f>W40+X40</f>
        <v>0</v>
      </c>
      <c r="Z40" s="31"/>
      <c r="AA40" s="31"/>
      <c r="AB40" s="135">
        <f t="shared" si="2"/>
        <v>1</v>
      </c>
      <c r="AC40" s="31"/>
      <c r="AD40" s="31"/>
      <c r="AE40" s="134">
        <f t="shared" si="144"/>
        <v>0</v>
      </c>
      <c r="AF40" s="135">
        <f t="shared" si="4"/>
        <v>1</v>
      </c>
      <c r="AG40" s="31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31"/>
      <c r="AN40" s="134">
        <f>AK40+AM40</f>
        <v>0</v>
      </c>
      <c r="AO40" s="135">
        <f t="shared" si="10"/>
        <v>1</v>
      </c>
      <c r="AP40" s="31"/>
      <c r="AQ40" s="134">
        <f>AN40+AP40</f>
        <v>0</v>
      </c>
      <c r="AR40" s="135">
        <f t="shared" si="12"/>
        <v>1</v>
      </c>
      <c r="AS40" s="31"/>
      <c r="AT40" s="134">
        <f>AQ40+AS40</f>
        <v>0</v>
      </c>
      <c r="AU40" s="135">
        <f t="shared" si="14"/>
        <v>1</v>
      </c>
      <c r="AV40" s="31"/>
      <c r="AW40" s="134">
        <f>AT40+AV40</f>
        <v>0</v>
      </c>
      <c r="AX40" s="135">
        <f t="shared" si="16"/>
        <v>1</v>
      </c>
      <c r="AY40" s="31"/>
      <c r="AZ40" s="134">
        <f>AW40+AY40</f>
        <v>0</v>
      </c>
      <c r="BA40" s="135">
        <f t="shared" si="18"/>
        <v>1</v>
      </c>
      <c r="BB40" s="31"/>
      <c r="BC40" s="134">
        <f>AZ40+BB40</f>
        <v>0</v>
      </c>
      <c r="BD40" s="135">
        <f t="shared" si="20"/>
        <v>1</v>
      </c>
      <c r="BE40" s="31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228" t="s">
        <v>95</v>
      </c>
      <c r="B41" s="229"/>
      <c r="C41" s="29"/>
      <c r="D41" s="134">
        <f t="shared" si="142"/>
        <v>0</v>
      </c>
      <c r="E41" s="31"/>
      <c r="F41" s="31"/>
      <c r="G41" s="134">
        <f t="shared" si="143"/>
        <v>0</v>
      </c>
      <c r="H41" s="31"/>
      <c r="I41" s="134"/>
      <c r="J41" s="31"/>
      <c r="K41" s="134"/>
      <c r="L41" s="31"/>
      <c r="M41" s="134"/>
      <c r="N41" s="31"/>
      <c r="O41" s="134"/>
      <c r="P41" s="31"/>
      <c r="Q41" s="134"/>
      <c r="R41" s="31"/>
      <c r="S41" s="134"/>
      <c r="T41" s="31"/>
      <c r="U41" s="134"/>
      <c r="V41" s="31"/>
      <c r="W41" s="134"/>
      <c r="X41" s="31"/>
      <c r="Y41" s="134"/>
      <c r="Z41" s="31"/>
      <c r="AA41" s="31"/>
      <c r="AB41" s="135">
        <f t="shared" ref="AB41:AB72" si="145">IF(D41=0,1,AA41/D41-1)</f>
        <v>1</v>
      </c>
      <c r="AC41" s="31"/>
      <c r="AD41" s="31"/>
      <c r="AE41" s="134">
        <f t="shared" si="144"/>
        <v>0</v>
      </c>
      <c r="AF41" s="135">
        <f t="shared" ref="AF41:AF72" si="146">IF(G41=0,1,AE41/G41-1)</f>
        <v>1</v>
      </c>
      <c r="AG41" s="31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31"/>
      <c r="AN41" s="134"/>
      <c r="AO41" s="135">
        <f t="shared" ref="AO41:AO72" si="149">IF(M41=0,1,AN41/M41-1)</f>
        <v>1</v>
      </c>
      <c r="AP41" s="31"/>
      <c r="AQ41" s="134"/>
      <c r="AR41" s="135">
        <f t="shared" ref="AR41:AR72" si="150">IF(O41=0,1,AQ41/O41-1)</f>
        <v>1</v>
      </c>
      <c r="AS41" s="31"/>
      <c r="AT41" s="134"/>
      <c r="AU41" s="135">
        <f t="shared" ref="AU41:AU72" si="151">IF(Q41=0,1,AT41/Q41-1)</f>
        <v>1</v>
      </c>
      <c r="AV41" s="31"/>
      <c r="AW41" s="134"/>
      <c r="AX41" s="135">
        <f t="shared" ref="AX41:AX72" si="152">IF(S41=0,1,AW41/S41-1)</f>
        <v>1</v>
      </c>
      <c r="AY41" s="31"/>
      <c r="AZ41" s="134"/>
      <c r="BA41" s="135">
        <f t="shared" ref="BA41:BA72" si="153">IF(U41=0,1,AZ41/U41-1)</f>
        <v>1</v>
      </c>
      <c r="BB41" s="31"/>
      <c r="BC41" s="134"/>
      <c r="BD41" s="135">
        <f t="shared" ref="BD41:BD72" si="154">IF(W41=0,1,BC41/W41-1)</f>
        <v>1</v>
      </c>
      <c r="BE41" s="31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228" t="s">
        <v>98</v>
      </c>
      <c r="B42" s="229"/>
      <c r="C42" s="29"/>
      <c r="D42" s="134">
        <f t="shared" si="142"/>
        <v>0</v>
      </c>
      <c r="E42" s="31"/>
      <c r="F42" s="31"/>
      <c r="G42" s="134">
        <f t="shared" si="143"/>
        <v>0</v>
      </c>
      <c r="H42" s="31"/>
      <c r="I42" s="134">
        <f>G42+H42</f>
        <v>0</v>
      </c>
      <c r="J42" s="31"/>
      <c r="K42" s="134">
        <f>I42+J42</f>
        <v>0</v>
      </c>
      <c r="L42" s="31"/>
      <c r="M42" s="134">
        <f>K42+L42</f>
        <v>0</v>
      </c>
      <c r="N42" s="31"/>
      <c r="O42" s="134">
        <f>M42+N42</f>
        <v>0</v>
      </c>
      <c r="P42" s="31"/>
      <c r="Q42" s="134">
        <f>O42+P42</f>
        <v>0</v>
      </c>
      <c r="R42" s="31"/>
      <c r="S42" s="134">
        <f>Q42+R42</f>
        <v>0</v>
      </c>
      <c r="T42" s="31"/>
      <c r="U42" s="134">
        <f>S42+T42</f>
        <v>0</v>
      </c>
      <c r="V42" s="31"/>
      <c r="W42" s="134">
        <f>U42+V42</f>
        <v>0</v>
      </c>
      <c r="X42" s="31"/>
      <c r="Y42" s="134">
        <f>W42+X42</f>
        <v>0</v>
      </c>
      <c r="Z42" s="31"/>
      <c r="AA42" s="31"/>
      <c r="AB42" s="135">
        <f t="shared" si="145"/>
        <v>1</v>
      </c>
      <c r="AC42" s="31"/>
      <c r="AD42" s="31"/>
      <c r="AE42" s="134">
        <f t="shared" si="144"/>
        <v>0</v>
      </c>
      <c r="AF42" s="135">
        <f t="shared" si="146"/>
        <v>1</v>
      </c>
      <c r="AG42" s="31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31"/>
      <c r="AN42" s="134">
        <f>AK42+AM42</f>
        <v>0</v>
      </c>
      <c r="AO42" s="135">
        <f t="shared" si="149"/>
        <v>1</v>
      </c>
      <c r="AP42" s="31"/>
      <c r="AQ42" s="134">
        <f>AN42+AP42</f>
        <v>0</v>
      </c>
      <c r="AR42" s="135">
        <f t="shared" si="150"/>
        <v>1</v>
      </c>
      <c r="AS42" s="31"/>
      <c r="AT42" s="134">
        <f>AQ42+AS42</f>
        <v>0</v>
      </c>
      <c r="AU42" s="135">
        <f t="shared" si="151"/>
        <v>1</v>
      </c>
      <c r="AV42" s="31"/>
      <c r="AW42" s="134">
        <f>AT42+AV42</f>
        <v>0</v>
      </c>
      <c r="AX42" s="135">
        <f t="shared" si="152"/>
        <v>1</v>
      </c>
      <c r="AY42" s="31"/>
      <c r="AZ42" s="134">
        <f>AW42+AY42</f>
        <v>0</v>
      </c>
      <c r="BA42" s="135">
        <f t="shared" si="153"/>
        <v>1</v>
      </c>
      <c r="BB42" s="31"/>
      <c r="BC42" s="134">
        <f>AZ42+BB42</f>
        <v>0</v>
      </c>
      <c r="BD42" s="135">
        <f t="shared" si="154"/>
        <v>1</v>
      </c>
      <c r="BE42" s="31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246" t="s">
        <v>97</v>
      </c>
      <c r="B43" s="247"/>
      <c r="C43" s="53"/>
      <c r="D43" s="140">
        <f t="shared" si="142"/>
        <v>0</v>
      </c>
      <c r="E43" s="36"/>
      <c r="F43" s="36"/>
      <c r="G43" s="132">
        <f t="shared" si="143"/>
        <v>0</v>
      </c>
      <c r="H43" s="36"/>
      <c r="I43" s="132">
        <f>G43+H43</f>
        <v>0</v>
      </c>
      <c r="J43" s="36"/>
      <c r="K43" s="132">
        <f>I43+J43</f>
        <v>0</v>
      </c>
      <c r="L43" s="36"/>
      <c r="M43" s="132">
        <f>K43+L43</f>
        <v>0</v>
      </c>
      <c r="N43" s="36"/>
      <c r="O43" s="132">
        <f>M43+N43</f>
        <v>0</v>
      </c>
      <c r="P43" s="36"/>
      <c r="Q43" s="132">
        <f>O43+P43</f>
        <v>0</v>
      </c>
      <c r="R43" s="36"/>
      <c r="S43" s="132">
        <f>Q43+R43</f>
        <v>0</v>
      </c>
      <c r="T43" s="36"/>
      <c r="U43" s="132">
        <f>S43+T43</f>
        <v>0</v>
      </c>
      <c r="V43" s="36"/>
      <c r="W43" s="132">
        <f>U43+V43</f>
        <v>0</v>
      </c>
      <c r="X43" s="36"/>
      <c r="Y43" s="132">
        <f>W43+X43</f>
        <v>0</v>
      </c>
      <c r="Z43" s="36"/>
      <c r="AA43" s="36"/>
      <c r="AB43" s="142">
        <f t="shared" si="145"/>
        <v>1</v>
      </c>
      <c r="AC43" s="36"/>
      <c r="AD43" s="36"/>
      <c r="AE43" s="132">
        <f t="shared" si="144"/>
        <v>0</v>
      </c>
      <c r="AF43" s="142">
        <f t="shared" si="146"/>
        <v>1</v>
      </c>
      <c r="AG43" s="36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36"/>
      <c r="AN43" s="132">
        <f>AK43+AM43</f>
        <v>0</v>
      </c>
      <c r="AO43" s="142">
        <f t="shared" si="149"/>
        <v>1</v>
      </c>
      <c r="AP43" s="36"/>
      <c r="AQ43" s="132">
        <f>AN43+AP43</f>
        <v>0</v>
      </c>
      <c r="AR43" s="142">
        <f t="shared" si="150"/>
        <v>1</v>
      </c>
      <c r="AS43" s="36"/>
      <c r="AT43" s="132">
        <f>AQ43+AS43</f>
        <v>0</v>
      </c>
      <c r="AU43" s="142">
        <f t="shared" si="151"/>
        <v>1</v>
      </c>
      <c r="AV43" s="36"/>
      <c r="AW43" s="132">
        <f>AT43+AV43</f>
        <v>0</v>
      </c>
      <c r="AX43" s="142">
        <f t="shared" si="152"/>
        <v>1</v>
      </c>
      <c r="AY43" s="36"/>
      <c r="AZ43" s="132">
        <f>AW43+AY43</f>
        <v>0</v>
      </c>
      <c r="BA43" s="142">
        <f t="shared" si="153"/>
        <v>1</v>
      </c>
      <c r="BB43" s="36"/>
      <c r="BC43" s="132">
        <f>AZ43+BB43</f>
        <v>0</v>
      </c>
      <c r="BD43" s="142">
        <f t="shared" si="154"/>
        <v>1</v>
      </c>
      <c r="BE43" s="36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246" t="s">
        <v>101</v>
      </c>
      <c r="B44" s="247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246" t="s">
        <v>102</v>
      </c>
      <c r="B45" s="247"/>
      <c r="C45" s="36"/>
      <c r="D45" s="140">
        <f t="shared" si="142"/>
        <v>0</v>
      </c>
      <c r="E45" s="36"/>
      <c r="F45" s="36"/>
      <c r="G45" s="132">
        <f t="shared" si="143"/>
        <v>0</v>
      </c>
      <c r="H45" s="36"/>
      <c r="I45" s="132">
        <f>G45+H45</f>
        <v>0</v>
      </c>
      <c r="J45" s="36"/>
      <c r="K45" s="132">
        <f>I45+J45</f>
        <v>0</v>
      </c>
      <c r="L45" s="36"/>
      <c r="M45" s="132">
        <f>K45+L45</f>
        <v>0</v>
      </c>
      <c r="N45" s="36"/>
      <c r="O45" s="132">
        <f>M45+N45</f>
        <v>0</v>
      </c>
      <c r="P45" s="36"/>
      <c r="Q45" s="132">
        <f>O45+P45</f>
        <v>0</v>
      </c>
      <c r="R45" s="36"/>
      <c r="S45" s="132">
        <f>Q45+R45</f>
        <v>0</v>
      </c>
      <c r="T45" s="36"/>
      <c r="U45" s="132">
        <f>S45+T45</f>
        <v>0</v>
      </c>
      <c r="V45" s="36"/>
      <c r="W45" s="132">
        <f>U45+V45</f>
        <v>0</v>
      </c>
      <c r="X45" s="36"/>
      <c r="Y45" s="132">
        <f>W45+X45</f>
        <v>0</v>
      </c>
      <c r="Z45" s="36"/>
      <c r="AA45" s="36"/>
      <c r="AB45" s="142">
        <f t="shared" si="145"/>
        <v>1</v>
      </c>
      <c r="AC45" s="36"/>
      <c r="AD45" s="36"/>
      <c r="AE45" s="132">
        <f t="shared" si="144"/>
        <v>0</v>
      </c>
      <c r="AF45" s="142">
        <f t="shared" si="146"/>
        <v>1</v>
      </c>
      <c r="AG45" s="36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36"/>
      <c r="AN45" s="132">
        <f>AK45+AM45</f>
        <v>0</v>
      </c>
      <c r="AO45" s="142">
        <f t="shared" si="149"/>
        <v>1</v>
      </c>
      <c r="AP45" s="36"/>
      <c r="AQ45" s="132">
        <f>AN45+AP45</f>
        <v>0</v>
      </c>
      <c r="AR45" s="142">
        <f t="shared" si="150"/>
        <v>1</v>
      </c>
      <c r="AS45" s="36"/>
      <c r="AT45" s="132">
        <f>AQ45+AS45</f>
        <v>0</v>
      </c>
      <c r="AU45" s="142">
        <f t="shared" si="151"/>
        <v>1</v>
      </c>
      <c r="AV45" s="36"/>
      <c r="AW45" s="132">
        <f>AT45+AV45</f>
        <v>0</v>
      </c>
      <c r="AX45" s="142">
        <f t="shared" si="152"/>
        <v>1</v>
      </c>
      <c r="AY45" s="36"/>
      <c r="AZ45" s="132">
        <f>AW45+AY45</f>
        <v>0</v>
      </c>
      <c r="BA45" s="142">
        <f t="shared" si="153"/>
        <v>1</v>
      </c>
      <c r="BB45" s="36"/>
      <c r="BC45" s="132">
        <f>AZ45+BB45</f>
        <v>0</v>
      </c>
      <c r="BD45" s="142">
        <f t="shared" si="154"/>
        <v>1</v>
      </c>
      <c r="BE45" s="36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246" t="s">
        <v>103</v>
      </c>
      <c r="B46" s="247"/>
      <c r="C46" s="36"/>
      <c r="D46" s="140">
        <f t="shared" si="142"/>
        <v>0</v>
      </c>
      <c r="E46" s="36"/>
      <c r="F46" s="36"/>
      <c r="G46" s="132">
        <f t="shared" si="143"/>
        <v>0</v>
      </c>
      <c r="H46" s="36"/>
      <c r="I46" s="132"/>
      <c r="J46" s="36"/>
      <c r="K46" s="132"/>
      <c r="L46" s="36"/>
      <c r="M46" s="132"/>
      <c r="N46" s="36"/>
      <c r="O46" s="132"/>
      <c r="P46" s="36"/>
      <c r="Q46" s="132"/>
      <c r="R46" s="36"/>
      <c r="S46" s="132"/>
      <c r="T46" s="36"/>
      <c r="U46" s="132"/>
      <c r="V46" s="36"/>
      <c r="W46" s="132"/>
      <c r="X46" s="36"/>
      <c r="Y46" s="132"/>
      <c r="Z46" s="36"/>
      <c r="AA46" s="36"/>
      <c r="AB46" s="142">
        <f t="shared" si="145"/>
        <v>1</v>
      </c>
      <c r="AC46" s="36"/>
      <c r="AD46" s="36"/>
      <c r="AE46" s="132">
        <f t="shared" si="144"/>
        <v>0</v>
      </c>
      <c r="AF46" s="142">
        <f t="shared" si="146"/>
        <v>1</v>
      </c>
      <c r="AG46" s="36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36"/>
      <c r="AN46" s="132"/>
      <c r="AO46" s="142">
        <f t="shared" si="149"/>
        <v>1</v>
      </c>
      <c r="AP46" s="36"/>
      <c r="AQ46" s="132"/>
      <c r="AR46" s="142">
        <f t="shared" si="150"/>
        <v>1</v>
      </c>
      <c r="AS46" s="36"/>
      <c r="AT46" s="132"/>
      <c r="AU46" s="142">
        <f t="shared" si="151"/>
        <v>1</v>
      </c>
      <c r="AV46" s="36"/>
      <c r="AW46" s="132"/>
      <c r="AX46" s="142">
        <f t="shared" si="152"/>
        <v>1</v>
      </c>
      <c r="AY46" s="36"/>
      <c r="AZ46" s="132"/>
      <c r="BA46" s="142">
        <f t="shared" si="153"/>
        <v>1</v>
      </c>
      <c r="BB46" s="36"/>
      <c r="BC46" s="132"/>
      <c r="BD46" s="142">
        <f t="shared" si="154"/>
        <v>1</v>
      </c>
      <c r="BE46" s="36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246" t="s">
        <v>106</v>
      </c>
      <c r="B47" s="247"/>
      <c r="C47" s="141">
        <f t="shared" ref="C47:F47" si="156">C48+C49+C55+C56+C61+C57+C58+C59+C60+C62</f>
        <v>0</v>
      </c>
      <c r="D47" s="141">
        <f t="shared" si="156"/>
        <v>0</v>
      </c>
      <c r="E47" s="141">
        <f t="shared" si="156"/>
        <v>0</v>
      </c>
      <c r="F47" s="141">
        <f t="shared" si="156"/>
        <v>0</v>
      </c>
      <c r="G47" s="132">
        <f t="shared" si="143"/>
        <v>0</v>
      </c>
      <c r="H47" s="141">
        <f t="shared" ref="H47:AA47" si="157">H48+H49+H55+H56+H61+H57+H58+H59+H60+H62</f>
        <v>0</v>
      </c>
      <c r="I47" s="141">
        <f t="shared" si="157"/>
        <v>0</v>
      </c>
      <c r="J47" s="141">
        <f t="shared" si="157"/>
        <v>0</v>
      </c>
      <c r="K47" s="141">
        <f t="shared" si="157"/>
        <v>0</v>
      </c>
      <c r="L47" s="141">
        <f t="shared" si="157"/>
        <v>0</v>
      </c>
      <c r="M47" s="141">
        <f t="shared" si="157"/>
        <v>0</v>
      </c>
      <c r="N47" s="141">
        <f t="shared" si="157"/>
        <v>0</v>
      </c>
      <c r="O47" s="141">
        <f t="shared" si="157"/>
        <v>0</v>
      </c>
      <c r="P47" s="141">
        <f t="shared" si="157"/>
        <v>0</v>
      </c>
      <c r="Q47" s="141">
        <f t="shared" si="157"/>
        <v>0</v>
      </c>
      <c r="R47" s="141">
        <f t="shared" si="157"/>
        <v>0</v>
      </c>
      <c r="S47" s="140">
        <f t="shared" si="157"/>
        <v>0</v>
      </c>
      <c r="T47" s="141">
        <f t="shared" si="157"/>
        <v>0</v>
      </c>
      <c r="U47" s="141">
        <f t="shared" si="157"/>
        <v>0</v>
      </c>
      <c r="V47" s="141">
        <f t="shared" si="157"/>
        <v>0</v>
      </c>
      <c r="W47" s="141">
        <f t="shared" si="157"/>
        <v>0</v>
      </c>
      <c r="X47" s="141">
        <f t="shared" si="157"/>
        <v>0</v>
      </c>
      <c r="Y47" s="141">
        <f t="shared" si="157"/>
        <v>0</v>
      </c>
      <c r="Z47" s="141">
        <f t="shared" si="157"/>
        <v>0</v>
      </c>
      <c r="AA47" s="141">
        <f t="shared" si="157"/>
        <v>0</v>
      </c>
      <c r="AB47" s="142">
        <f t="shared" si="145"/>
        <v>1</v>
      </c>
      <c r="AC47" s="141">
        <f t="shared" ref="AC47:AE47" si="158">AC48+AC49+AC55+AC56+AC61+AC57+AC58+AC59+AC60+AC62</f>
        <v>0</v>
      </c>
      <c r="AD47" s="141">
        <f t="shared" si="158"/>
        <v>0</v>
      </c>
      <c r="AE47" s="141">
        <f t="shared" si="158"/>
        <v>0</v>
      </c>
      <c r="AF47" s="142">
        <f t="shared" si="146"/>
        <v>1</v>
      </c>
      <c r="AG47" s="141">
        <f>AG48+AG49+AG55+AG56+AG61+AG57+AG58+AG59+AG60+AG62</f>
        <v>0</v>
      </c>
      <c r="AH47" s="141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1">
        <f>AK48+AK49+AK55+AK56+AK61+AK57+AK58+AK59+AK60+AK62</f>
        <v>0</v>
      </c>
      <c r="AL47" s="142">
        <f t="shared" si="148"/>
        <v>1</v>
      </c>
      <c r="AM47" s="141">
        <f>AM48+AM49+AM55+AM56+AM61+AM57+AM58+AM59+AM60+AM62</f>
        <v>0</v>
      </c>
      <c r="AN47" s="141">
        <f>AN48+AN49+AN55+AN56+AN61+AN57+AN58+AN59+AN60+AN62</f>
        <v>0</v>
      </c>
      <c r="AO47" s="142">
        <f t="shared" si="149"/>
        <v>1</v>
      </c>
      <c r="AP47" s="141">
        <f>AP48+AP49+AP55+AP56+AP61+AP57+AP58+AP59+AP60+AP62</f>
        <v>0</v>
      </c>
      <c r="AQ47" s="141">
        <f>AQ48+AQ49+AQ55+AQ56+AQ61+AQ57+AQ58+AQ59+AQ60+AQ62</f>
        <v>0</v>
      </c>
      <c r="AR47" s="142">
        <f t="shared" si="150"/>
        <v>1</v>
      </c>
      <c r="AS47" s="141">
        <f>AS48+AS49+AS55+AS56+AS61+AS57+AS58+AS59+AS60+AS62</f>
        <v>0</v>
      </c>
      <c r="AT47" s="141">
        <f>AT48+AT49+AT55+AT56+AT61+AT57+AT58+AT59+AT60+AT62</f>
        <v>0</v>
      </c>
      <c r="AU47" s="142">
        <f t="shared" si="151"/>
        <v>1</v>
      </c>
      <c r="AV47" s="141">
        <f>AV48+AV49+AV55+AV56+AV61+AV57+AV58+AV59+AV60+AV62</f>
        <v>0</v>
      </c>
      <c r="AW47" s="141">
        <f>AW48+AW49+AW55+AW56+AW61+AW57+AW58+AW59+AW60+AW62</f>
        <v>0</v>
      </c>
      <c r="AX47" s="142">
        <f t="shared" si="152"/>
        <v>1</v>
      </c>
      <c r="AY47" s="141">
        <f>AY48+AY49+AY55+AY56+AY61+AY57+AY58+AY59+AY60+AY62</f>
        <v>0</v>
      </c>
      <c r="AZ47" s="141">
        <f>AZ48+AZ49+AZ55+AZ56+AZ61+AZ57+AZ58+AZ59+AZ60+AZ62</f>
        <v>0</v>
      </c>
      <c r="BA47" s="142">
        <f t="shared" si="153"/>
        <v>1</v>
      </c>
      <c r="BB47" s="141">
        <f>BB48+BB49+BB55+BB56+BB61+BB57+BB58+BB59+BB60+BB62</f>
        <v>0</v>
      </c>
      <c r="BC47" s="141">
        <f>BC48+BC49+BC55+BC56+BC61+BC57+BC58+BC59+BC60+BC62</f>
        <v>0</v>
      </c>
      <c r="BD47" s="142">
        <f t="shared" si="154"/>
        <v>1</v>
      </c>
      <c r="BE47" s="141">
        <f>BE48+BE49+BE55+BE56+BE61+BE57+BE58+BE59+BE60+BE62</f>
        <v>0</v>
      </c>
      <c r="BF47" s="141">
        <f>BF48+BF49+BF55+BF56+BF61+BF57+BF58+BF59+BF60+BF62</f>
        <v>0</v>
      </c>
      <c r="BG47" s="142">
        <f t="shared" si="155"/>
        <v>1</v>
      </c>
      <c r="BH47" s="141">
        <f t="shared" ref="BH47:BJ47" si="159">BH48+BH49+BH55+BH56+BH61+BH57+BH58+BH59+BH60+BH62</f>
        <v>0</v>
      </c>
      <c r="BI47" s="141">
        <f t="shared" si="159"/>
        <v>0</v>
      </c>
      <c r="BJ47" s="141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228" t="s">
        <v>132</v>
      </c>
      <c r="B48" s="229"/>
      <c r="C48" s="29"/>
      <c r="D48" s="134">
        <f>E48+F48+H48+J48+L48+N48+P48+R48+T48+V48+X48+Z48</f>
        <v>0</v>
      </c>
      <c r="E48" s="31"/>
      <c r="F48" s="31"/>
      <c r="G48" s="134">
        <f t="shared" si="143"/>
        <v>0</v>
      </c>
      <c r="H48" s="31"/>
      <c r="I48" s="134"/>
      <c r="J48" s="31"/>
      <c r="K48" s="134"/>
      <c r="L48" s="31"/>
      <c r="M48" s="134"/>
      <c r="N48" s="31"/>
      <c r="O48" s="134"/>
      <c r="P48" s="31"/>
      <c r="Q48" s="134"/>
      <c r="R48" s="31"/>
      <c r="S48" s="134"/>
      <c r="T48" s="31"/>
      <c r="U48" s="134"/>
      <c r="V48" s="31"/>
      <c r="W48" s="134"/>
      <c r="X48" s="31"/>
      <c r="Y48" s="134"/>
      <c r="Z48" s="31"/>
      <c r="AA48" s="31"/>
      <c r="AB48" s="135">
        <f t="shared" si="145"/>
        <v>1</v>
      </c>
      <c r="AC48" s="31"/>
      <c r="AD48" s="31"/>
      <c r="AE48" s="134">
        <f t="shared" ref="AE48:AE73" si="160">AC48+AD48</f>
        <v>0</v>
      </c>
      <c r="AF48" s="135">
        <f t="shared" si="146"/>
        <v>1</v>
      </c>
      <c r="AG48" s="31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31"/>
      <c r="AN48" s="134"/>
      <c r="AO48" s="135">
        <f t="shared" si="149"/>
        <v>1</v>
      </c>
      <c r="AP48" s="31"/>
      <c r="AQ48" s="134"/>
      <c r="AR48" s="135">
        <f t="shared" si="150"/>
        <v>1</v>
      </c>
      <c r="AS48" s="31"/>
      <c r="AT48" s="134"/>
      <c r="AU48" s="135">
        <f t="shared" si="151"/>
        <v>1</v>
      </c>
      <c r="AV48" s="31"/>
      <c r="AW48" s="134"/>
      <c r="AX48" s="135">
        <f t="shared" si="152"/>
        <v>1</v>
      </c>
      <c r="AY48" s="31"/>
      <c r="AZ48" s="134"/>
      <c r="BA48" s="135">
        <f t="shared" si="153"/>
        <v>1</v>
      </c>
      <c r="BB48" s="31"/>
      <c r="BC48" s="134"/>
      <c r="BD48" s="135">
        <f t="shared" si="154"/>
        <v>1</v>
      </c>
      <c r="BE48" s="31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228" t="s">
        <v>108</v>
      </c>
      <c r="B49" s="229"/>
      <c r="C49" s="31">
        <f>C50+C51+C52</f>
        <v>0</v>
      </c>
      <c r="D49" s="139">
        <f t="shared" ref="D49:AA49" si="161">D50+D51+D52</f>
        <v>0</v>
      </c>
      <c r="E49" s="31">
        <f t="shared" si="161"/>
        <v>0</v>
      </c>
      <c r="F49" s="31">
        <f t="shared" si="161"/>
        <v>0</v>
      </c>
      <c r="G49" s="134">
        <f t="shared" si="143"/>
        <v>0</v>
      </c>
      <c r="H49" s="31">
        <f t="shared" ref="H49" si="162">H50+H51+H52</f>
        <v>0</v>
      </c>
      <c r="I49" s="139">
        <f t="shared" si="161"/>
        <v>0</v>
      </c>
      <c r="J49" s="31">
        <f t="shared" si="161"/>
        <v>0</v>
      </c>
      <c r="K49" s="139">
        <f t="shared" si="161"/>
        <v>0</v>
      </c>
      <c r="L49" s="31">
        <f t="shared" si="161"/>
        <v>0</v>
      </c>
      <c r="M49" s="139">
        <f t="shared" si="161"/>
        <v>0</v>
      </c>
      <c r="N49" s="31">
        <f t="shared" si="161"/>
        <v>0</v>
      </c>
      <c r="O49" s="139">
        <f t="shared" si="161"/>
        <v>0</v>
      </c>
      <c r="P49" s="31">
        <f t="shared" si="161"/>
        <v>0</v>
      </c>
      <c r="Q49" s="139">
        <f t="shared" si="161"/>
        <v>0</v>
      </c>
      <c r="R49" s="31">
        <f t="shared" si="161"/>
        <v>0</v>
      </c>
      <c r="S49" s="137">
        <f t="shared" si="161"/>
        <v>0</v>
      </c>
      <c r="T49" s="31">
        <f t="shared" si="161"/>
        <v>0</v>
      </c>
      <c r="U49" s="139">
        <f t="shared" si="161"/>
        <v>0</v>
      </c>
      <c r="V49" s="31">
        <f t="shared" si="161"/>
        <v>0</v>
      </c>
      <c r="W49" s="139">
        <f t="shared" si="161"/>
        <v>0</v>
      </c>
      <c r="X49" s="31">
        <f t="shared" si="161"/>
        <v>0</v>
      </c>
      <c r="Y49" s="139">
        <f t="shared" si="161"/>
        <v>0</v>
      </c>
      <c r="Z49" s="31">
        <f t="shared" si="161"/>
        <v>0</v>
      </c>
      <c r="AA49" s="31">
        <f t="shared" si="161"/>
        <v>0</v>
      </c>
      <c r="AB49" s="135">
        <f t="shared" si="145"/>
        <v>1</v>
      </c>
      <c r="AC49" s="31">
        <f t="shared" ref="AC49:AD49" si="163">AC50+AC51+AC52</f>
        <v>0</v>
      </c>
      <c r="AD49" s="31">
        <f t="shared" si="163"/>
        <v>0</v>
      </c>
      <c r="AE49" s="134">
        <f t="shared" si="160"/>
        <v>0</v>
      </c>
      <c r="AF49" s="135">
        <f t="shared" si="146"/>
        <v>1</v>
      </c>
      <c r="AG49" s="31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31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31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31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31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31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31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31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228" t="s">
        <v>110</v>
      </c>
      <c r="B50" s="229"/>
      <c r="C50" s="31"/>
      <c r="D50" s="134">
        <f t="shared" ref="D50:D73" si="174">E50+F50+H50+J50+L50+N50+P50+R50+T50+V50+X50+Z50</f>
        <v>0</v>
      </c>
      <c r="E50" s="31"/>
      <c r="F50" s="31"/>
      <c r="G50" s="134">
        <f t="shared" si="143"/>
        <v>0</v>
      </c>
      <c r="H50" s="31"/>
      <c r="I50" s="134"/>
      <c r="J50" s="31"/>
      <c r="K50" s="134"/>
      <c r="L50" s="31"/>
      <c r="M50" s="134"/>
      <c r="N50" s="31"/>
      <c r="O50" s="134"/>
      <c r="P50" s="31"/>
      <c r="Q50" s="134"/>
      <c r="R50" s="31"/>
      <c r="S50" s="134"/>
      <c r="T50" s="31"/>
      <c r="U50" s="134"/>
      <c r="V50" s="31"/>
      <c r="W50" s="134"/>
      <c r="X50" s="31"/>
      <c r="Y50" s="134"/>
      <c r="Z50" s="31"/>
      <c r="AA50" s="31"/>
      <c r="AB50" s="135">
        <f t="shared" si="145"/>
        <v>1</v>
      </c>
      <c r="AC50" s="31"/>
      <c r="AD50" s="31"/>
      <c r="AE50" s="134">
        <f t="shared" si="160"/>
        <v>0</v>
      </c>
      <c r="AF50" s="135">
        <f t="shared" si="146"/>
        <v>1</v>
      </c>
      <c r="AG50" s="31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31"/>
      <c r="AN50" s="134"/>
      <c r="AO50" s="135">
        <f t="shared" si="149"/>
        <v>1</v>
      </c>
      <c r="AP50" s="31"/>
      <c r="AQ50" s="134"/>
      <c r="AR50" s="135">
        <f t="shared" si="150"/>
        <v>1</v>
      </c>
      <c r="AS50" s="31"/>
      <c r="AT50" s="134"/>
      <c r="AU50" s="135">
        <f t="shared" si="151"/>
        <v>1</v>
      </c>
      <c r="AV50" s="31"/>
      <c r="AW50" s="134"/>
      <c r="AX50" s="135">
        <f t="shared" si="152"/>
        <v>1</v>
      </c>
      <c r="AY50" s="31"/>
      <c r="AZ50" s="134"/>
      <c r="BA50" s="135">
        <f t="shared" si="153"/>
        <v>1</v>
      </c>
      <c r="BB50" s="31"/>
      <c r="BC50" s="134"/>
      <c r="BD50" s="135">
        <f t="shared" si="154"/>
        <v>1</v>
      </c>
      <c r="BE50" s="31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228" t="s">
        <v>111</v>
      </c>
      <c r="B51" s="229"/>
      <c r="C51" s="31"/>
      <c r="D51" s="134">
        <f t="shared" si="174"/>
        <v>0</v>
      </c>
      <c r="E51" s="31"/>
      <c r="F51" s="31"/>
      <c r="G51" s="134">
        <f t="shared" si="143"/>
        <v>0</v>
      </c>
      <c r="H51" s="31"/>
      <c r="I51" s="134"/>
      <c r="J51" s="31"/>
      <c r="K51" s="134"/>
      <c r="L51" s="31"/>
      <c r="M51" s="134"/>
      <c r="N51" s="31"/>
      <c r="O51" s="134"/>
      <c r="P51" s="31"/>
      <c r="Q51" s="134"/>
      <c r="R51" s="31"/>
      <c r="S51" s="134"/>
      <c r="T51" s="31"/>
      <c r="U51" s="134"/>
      <c r="V51" s="31"/>
      <c r="W51" s="134"/>
      <c r="X51" s="31"/>
      <c r="Y51" s="134"/>
      <c r="Z51" s="31"/>
      <c r="AA51" s="31"/>
      <c r="AB51" s="135">
        <f t="shared" si="145"/>
        <v>1</v>
      </c>
      <c r="AC51" s="31"/>
      <c r="AD51" s="31"/>
      <c r="AE51" s="134">
        <f t="shared" si="160"/>
        <v>0</v>
      </c>
      <c r="AF51" s="135">
        <f t="shared" si="146"/>
        <v>1</v>
      </c>
      <c r="AG51" s="31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31"/>
      <c r="AN51" s="134"/>
      <c r="AO51" s="135">
        <f t="shared" si="149"/>
        <v>1</v>
      </c>
      <c r="AP51" s="31"/>
      <c r="AQ51" s="134"/>
      <c r="AR51" s="135">
        <f t="shared" si="150"/>
        <v>1</v>
      </c>
      <c r="AS51" s="31"/>
      <c r="AT51" s="134"/>
      <c r="AU51" s="135">
        <f t="shared" si="151"/>
        <v>1</v>
      </c>
      <c r="AV51" s="31"/>
      <c r="AW51" s="134"/>
      <c r="AX51" s="135">
        <f t="shared" si="152"/>
        <v>1</v>
      </c>
      <c r="AY51" s="31"/>
      <c r="AZ51" s="134"/>
      <c r="BA51" s="135">
        <f t="shared" si="153"/>
        <v>1</v>
      </c>
      <c r="BB51" s="31"/>
      <c r="BC51" s="134"/>
      <c r="BD51" s="135">
        <f t="shared" si="154"/>
        <v>1</v>
      </c>
      <c r="BE51" s="31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228" t="s">
        <v>112</v>
      </c>
      <c r="B52" s="229"/>
      <c r="C52" s="31"/>
      <c r="D52" s="134">
        <f t="shared" si="174"/>
        <v>0</v>
      </c>
      <c r="E52" s="31"/>
      <c r="F52" s="31"/>
      <c r="G52" s="134">
        <f t="shared" si="143"/>
        <v>0</v>
      </c>
      <c r="H52" s="31"/>
      <c r="I52" s="134"/>
      <c r="J52" s="31"/>
      <c r="K52" s="134"/>
      <c r="L52" s="31"/>
      <c r="M52" s="134"/>
      <c r="N52" s="31"/>
      <c r="O52" s="134"/>
      <c r="P52" s="31"/>
      <c r="Q52" s="134"/>
      <c r="R52" s="31"/>
      <c r="S52" s="134"/>
      <c r="T52" s="31"/>
      <c r="U52" s="134"/>
      <c r="V52" s="31"/>
      <c r="W52" s="134"/>
      <c r="X52" s="31"/>
      <c r="Y52" s="134"/>
      <c r="Z52" s="31"/>
      <c r="AA52" s="31"/>
      <c r="AB52" s="135">
        <f t="shared" si="145"/>
        <v>1</v>
      </c>
      <c r="AC52" s="31"/>
      <c r="AD52" s="31"/>
      <c r="AE52" s="134">
        <f t="shared" si="160"/>
        <v>0</v>
      </c>
      <c r="AF52" s="135">
        <f t="shared" si="146"/>
        <v>1</v>
      </c>
      <c r="AG52" s="31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31"/>
      <c r="AN52" s="134"/>
      <c r="AO52" s="135">
        <f t="shared" si="149"/>
        <v>1</v>
      </c>
      <c r="AP52" s="31"/>
      <c r="AQ52" s="134"/>
      <c r="AR52" s="135">
        <f t="shared" si="150"/>
        <v>1</v>
      </c>
      <c r="AS52" s="31"/>
      <c r="AT52" s="134"/>
      <c r="AU52" s="135">
        <f t="shared" si="151"/>
        <v>1</v>
      </c>
      <c r="AV52" s="31"/>
      <c r="AW52" s="134"/>
      <c r="AX52" s="135">
        <f t="shared" si="152"/>
        <v>1</v>
      </c>
      <c r="AY52" s="31"/>
      <c r="AZ52" s="134"/>
      <c r="BA52" s="135">
        <f t="shared" si="153"/>
        <v>1</v>
      </c>
      <c r="BB52" s="31"/>
      <c r="BC52" s="134"/>
      <c r="BD52" s="135">
        <f t="shared" si="154"/>
        <v>1</v>
      </c>
      <c r="BE52" s="31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228" t="s">
        <v>104</v>
      </c>
      <c r="B53" s="229"/>
      <c r="C53" s="29"/>
      <c r="D53" s="134">
        <f t="shared" si="174"/>
        <v>0</v>
      </c>
      <c r="E53" s="31"/>
      <c r="F53" s="31"/>
      <c r="G53" s="134">
        <f t="shared" si="143"/>
        <v>0</v>
      </c>
      <c r="H53" s="31"/>
      <c r="I53" s="134">
        <f>G53+H53</f>
        <v>0</v>
      </c>
      <c r="J53" s="31"/>
      <c r="K53" s="134">
        <f>I53+J53</f>
        <v>0</v>
      </c>
      <c r="L53" s="31"/>
      <c r="M53" s="134">
        <f>K53+L53</f>
        <v>0</v>
      </c>
      <c r="N53" s="31"/>
      <c r="O53" s="134">
        <f>M53+N53</f>
        <v>0</v>
      </c>
      <c r="P53" s="31"/>
      <c r="Q53" s="134">
        <f>O53+P53</f>
        <v>0</v>
      </c>
      <c r="R53" s="31"/>
      <c r="S53" s="134">
        <f>Q53+R53</f>
        <v>0</v>
      </c>
      <c r="T53" s="31"/>
      <c r="U53" s="134">
        <f>S53+T53</f>
        <v>0</v>
      </c>
      <c r="V53" s="31"/>
      <c r="W53" s="134">
        <f>U53+V53</f>
        <v>0</v>
      </c>
      <c r="X53" s="31"/>
      <c r="Y53" s="134">
        <f>W53+X53</f>
        <v>0</v>
      </c>
      <c r="Z53" s="31"/>
      <c r="AA53" s="31"/>
      <c r="AB53" s="135">
        <f t="shared" si="145"/>
        <v>1</v>
      </c>
      <c r="AC53" s="31"/>
      <c r="AD53" s="31"/>
      <c r="AE53" s="134">
        <f t="shared" si="160"/>
        <v>0</v>
      </c>
      <c r="AF53" s="135">
        <f t="shared" si="146"/>
        <v>1</v>
      </c>
      <c r="AG53" s="31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31"/>
      <c r="AN53" s="134">
        <f>AK53+AM53</f>
        <v>0</v>
      </c>
      <c r="AO53" s="135">
        <f t="shared" si="149"/>
        <v>1</v>
      </c>
      <c r="AP53" s="31"/>
      <c r="AQ53" s="134">
        <f>AN53+AP53</f>
        <v>0</v>
      </c>
      <c r="AR53" s="135">
        <f t="shared" si="150"/>
        <v>1</v>
      </c>
      <c r="AS53" s="31"/>
      <c r="AT53" s="134">
        <f>AQ53+AS53</f>
        <v>0</v>
      </c>
      <c r="AU53" s="135">
        <f t="shared" si="151"/>
        <v>1</v>
      </c>
      <c r="AV53" s="31"/>
      <c r="AW53" s="134">
        <f>AT53+AV53</f>
        <v>0</v>
      </c>
      <c r="AX53" s="135">
        <f t="shared" si="152"/>
        <v>1</v>
      </c>
      <c r="AY53" s="31"/>
      <c r="AZ53" s="134">
        <f>AW53+AY53</f>
        <v>0</v>
      </c>
      <c r="BA53" s="135">
        <f t="shared" si="153"/>
        <v>1</v>
      </c>
      <c r="BB53" s="31"/>
      <c r="BC53" s="134">
        <f>AZ53+BB53</f>
        <v>0</v>
      </c>
      <c r="BD53" s="135">
        <f t="shared" si="154"/>
        <v>1</v>
      </c>
      <c r="BE53" s="31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228" t="s">
        <v>107</v>
      </c>
      <c r="B54" s="229"/>
      <c r="C54" s="31"/>
      <c r="D54" s="134">
        <f t="shared" si="174"/>
        <v>0</v>
      </c>
      <c r="E54" s="31"/>
      <c r="F54" s="31"/>
      <c r="G54" s="134">
        <f t="shared" si="143"/>
        <v>0</v>
      </c>
      <c r="H54" s="31"/>
      <c r="I54" s="134"/>
      <c r="J54" s="31"/>
      <c r="K54" s="134"/>
      <c r="L54" s="31"/>
      <c r="M54" s="134"/>
      <c r="N54" s="31"/>
      <c r="O54" s="134"/>
      <c r="P54" s="31"/>
      <c r="Q54" s="134"/>
      <c r="R54" s="31"/>
      <c r="S54" s="134"/>
      <c r="T54" s="31"/>
      <c r="U54" s="134"/>
      <c r="V54" s="31"/>
      <c r="W54" s="134"/>
      <c r="X54" s="31"/>
      <c r="Y54" s="134"/>
      <c r="Z54" s="31"/>
      <c r="AA54" s="31"/>
      <c r="AB54" s="135">
        <f t="shared" si="145"/>
        <v>1</v>
      </c>
      <c r="AC54" s="31"/>
      <c r="AD54" s="31"/>
      <c r="AE54" s="134">
        <f t="shared" si="160"/>
        <v>0</v>
      </c>
      <c r="AF54" s="135">
        <f t="shared" si="146"/>
        <v>1</v>
      </c>
      <c r="AG54" s="31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31"/>
      <c r="AN54" s="134"/>
      <c r="AO54" s="135">
        <f t="shared" si="149"/>
        <v>1</v>
      </c>
      <c r="AP54" s="31"/>
      <c r="AQ54" s="134"/>
      <c r="AR54" s="135">
        <f t="shared" si="150"/>
        <v>1</v>
      </c>
      <c r="AS54" s="31"/>
      <c r="AT54" s="134"/>
      <c r="AU54" s="135">
        <f t="shared" si="151"/>
        <v>1</v>
      </c>
      <c r="AV54" s="31"/>
      <c r="AW54" s="134"/>
      <c r="AX54" s="135">
        <f t="shared" si="152"/>
        <v>1</v>
      </c>
      <c r="AY54" s="31"/>
      <c r="AZ54" s="134"/>
      <c r="BA54" s="135">
        <f t="shared" si="153"/>
        <v>1</v>
      </c>
      <c r="BB54" s="31"/>
      <c r="BC54" s="134"/>
      <c r="BD54" s="135">
        <f t="shared" si="154"/>
        <v>1</v>
      </c>
      <c r="BE54" s="31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228" t="s">
        <v>131</v>
      </c>
      <c r="B55" s="229"/>
      <c r="C55" s="31"/>
      <c r="D55" s="134">
        <f t="shared" si="174"/>
        <v>0</v>
      </c>
      <c r="E55" s="31"/>
      <c r="F55" s="31"/>
      <c r="G55" s="134">
        <f t="shared" si="143"/>
        <v>0</v>
      </c>
      <c r="H55" s="31"/>
      <c r="I55" s="134">
        <f>G55+H55</f>
        <v>0</v>
      </c>
      <c r="J55" s="31"/>
      <c r="K55" s="134">
        <f>I55+J55</f>
        <v>0</v>
      </c>
      <c r="L55" s="31"/>
      <c r="M55" s="134">
        <f>K55+L55</f>
        <v>0</v>
      </c>
      <c r="N55" s="31"/>
      <c r="O55" s="134">
        <f>M55+N55</f>
        <v>0</v>
      </c>
      <c r="P55" s="31"/>
      <c r="Q55" s="134">
        <f>O55+P55</f>
        <v>0</v>
      </c>
      <c r="R55" s="31"/>
      <c r="S55" s="134">
        <f>Q55+R55</f>
        <v>0</v>
      </c>
      <c r="T55" s="31"/>
      <c r="U55" s="134">
        <f>S55+T55</f>
        <v>0</v>
      </c>
      <c r="V55" s="31"/>
      <c r="W55" s="134">
        <f>U55+V55</f>
        <v>0</v>
      </c>
      <c r="X55" s="31"/>
      <c r="Y55" s="134">
        <f>W55+X55</f>
        <v>0</v>
      </c>
      <c r="Z55" s="31"/>
      <c r="AA55" s="31"/>
      <c r="AB55" s="135">
        <f t="shared" si="145"/>
        <v>1</v>
      </c>
      <c r="AC55" s="31"/>
      <c r="AD55" s="31"/>
      <c r="AE55" s="134">
        <f t="shared" si="160"/>
        <v>0</v>
      </c>
      <c r="AF55" s="135">
        <f t="shared" si="146"/>
        <v>1</v>
      </c>
      <c r="AG55" s="31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31"/>
      <c r="AN55" s="134">
        <f>AK55+AM55</f>
        <v>0</v>
      </c>
      <c r="AO55" s="135">
        <f t="shared" si="149"/>
        <v>1</v>
      </c>
      <c r="AP55" s="31"/>
      <c r="AQ55" s="134">
        <f>AN55+AP55</f>
        <v>0</v>
      </c>
      <c r="AR55" s="135">
        <f t="shared" si="150"/>
        <v>1</v>
      </c>
      <c r="AS55" s="31"/>
      <c r="AT55" s="134">
        <f>AQ55+AS55</f>
        <v>0</v>
      </c>
      <c r="AU55" s="135">
        <f t="shared" si="151"/>
        <v>1</v>
      </c>
      <c r="AV55" s="31"/>
      <c r="AW55" s="134">
        <f>AT55+AV55</f>
        <v>0</v>
      </c>
      <c r="AX55" s="135">
        <f t="shared" si="152"/>
        <v>1</v>
      </c>
      <c r="AY55" s="31"/>
      <c r="AZ55" s="134">
        <f>AW55+AY55</f>
        <v>0</v>
      </c>
      <c r="BA55" s="135">
        <f t="shared" si="153"/>
        <v>1</v>
      </c>
      <c r="BB55" s="31"/>
      <c r="BC55" s="134">
        <f>AZ55+BB55</f>
        <v>0</v>
      </c>
      <c r="BD55" s="135">
        <f t="shared" si="154"/>
        <v>1</v>
      </c>
      <c r="BE55" s="31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228" t="s">
        <v>109</v>
      </c>
      <c r="B56" s="229"/>
      <c r="C56" s="31"/>
      <c r="D56" s="134">
        <f t="shared" si="174"/>
        <v>0</v>
      </c>
      <c r="E56" s="31"/>
      <c r="F56" s="31"/>
      <c r="G56" s="134">
        <f t="shared" si="143"/>
        <v>0</v>
      </c>
      <c r="H56" s="31"/>
      <c r="I56" s="134">
        <f>G56+H56</f>
        <v>0</v>
      </c>
      <c r="J56" s="31"/>
      <c r="K56" s="134">
        <f>I56+J56</f>
        <v>0</v>
      </c>
      <c r="L56" s="31"/>
      <c r="M56" s="134">
        <f>K56+L56</f>
        <v>0</v>
      </c>
      <c r="N56" s="31"/>
      <c r="O56" s="134">
        <f>M56+N56</f>
        <v>0</v>
      </c>
      <c r="P56" s="31"/>
      <c r="Q56" s="134">
        <f>O56+P56</f>
        <v>0</v>
      </c>
      <c r="R56" s="31"/>
      <c r="S56" s="134">
        <f>Q56+R56</f>
        <v>0</v>
      </c>
      <c r="T56" s="31"/>
      <c r="U56" s="134">
        <f>S56+T56</f>
        <v>0</v>
      </c>
      <c r="V56" s="31"/>
      <c r="W56" s="134">
        <f>U56+V56</f>
        <v>0</v>
      </c>
      <c r="X56" s="31"/>
      <c r="Y56" s="134">
        <f>W56+X56</f>
        <v>0</v>
      </c>
      <c r="Z56" s="31"/>
      <c r="AA56" s="31"/>
      <c r="AB56" s="135">
        <f t="shared" si="145"/>
        <v>1</v>
      </c>
      <c r="AC56" s="31"/>
      <c r="AD56" s="31"/>
      <c r="AE56" s="134">
        <f t="shared" si="160"/>
        <v>0</v>
      </c>
      <c r="AF56" s="135">
        <f t="shared" si="146"/>
        <v>1</v>
      </c>
      <c r="AG56" s="31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31"/>
      <c r="AN56" s="134">
        <f>AK56+AM56</f>
        <v>0</v>
      </c>
      <c r="AO56" s="135">
        <f t="shared" si="149"/>
        <v>1</v>
      </c>
      <c r="AP56" s="31"/>
      <c r="AQ56" s="134">
        <f>AN56+AP56</f>
        <v>0</v>
      </c>
      <c r="AR56" s="135">
        <f t="shared" si="150"/>
        <v>1</v>
      </c>
      <c r="AS56" s="31"/>
      <c r="AT56" s="134">
        <f>AQ56+AS56</f>
        <v>0</v>
      </c>
      <c r="AU56" s="135">
        <f t="shared" si="151"/>
        <v>1</v>
      </c>
      <c r="AV56" s="31"/>
      <c r="AW56" s="134">
        <f>AT56+AV56</f>
        <v>0</v>
      </c>
      <c r="AX56" s="135">
        <f t="shared" si="152"/>
        <v>1</v>
      </c>
      <c r="AY56" s="31"/>
      <c r="AZ56" s="134">
        <f>AW56+AY56</f>
        <v>0</v>
      </c>
      <c r="BA56" s="135">
        <f t="shared" si="153"/>
        <v>1</v>
      </c>
      <c r="BB56" s="31"/>
      <c r="BC56" s="134">
        <f>AZ56+BB56</f>
        <v>0</v>
      </c>
      <c r="BD56" s="135">
        <f t="shared" si="154"/>
        <v>1</v>
      </c>
      <c r="BE56" s="31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228" t="s">
        <v>119</v>
      </c>
      <c r="B57" s="229"/>
      <c r="C57" s="29"/>
      <c r="D57" s="134">
        <f t="shared" si="174"/>
        <v>0</v>
      </c>
      <c r="E57" s="31"/>
      <c r="F57" s="31"/>
      <c r="G57" s="134">
        <f t="shared" si="143"/>
        <v>0</v>
      </c>
      <c r="H57" s="31"/>
      <c r="I57" s="134"/>
      <c r="J57" s="31"/>
      <c r="K57" s="134"/>
      <c r="L57" s="31"/>
      <c r="M57" s="134"/>
      <c r="N57" s="31"/>
      <c r="O57" s="134"/>
      <c r="P57" s="31"/>
      <c r="Q57" s="134"/>
      <c r="R57" s="31"/>
      <c r="S57" s="134"/>
      <c r="T57" s="31"/>
      <c r="U57" s="134"/>
      <c r="V57" s="31"/>
      <c r="W57" s="134"/>
      <c r="X57" s="31"/>
      <c r="Y57" s="134"/>
      <c r="Z57" s="31"/>
      <c r="AA57" s="31"/>
      <c r="AB57" s="135">
        <f t="shared" si="145"/>
        <v>1</v>
      </c>
      <c r="AC57" s="31"/>
      <c r="AD57" s="31"/>
      <c r="AE57" s="134">
        <f t="shared" si="160"/>
        <v>0</v>
      </c>
      <c r="AF57" s="135">
        <f t="shared" si="146"/>
        <v>1</v>
      </c>
      <c r="AG57" s="31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31"/>
      <c r="AN57" s="134"/>
      <c r="AO57" s="135">
        <f t="shared" si="149"/>
        <v>1</v>
      </c>
      <c r="AP57" s="31"/>
      <c r="AQ57" s="134"/>
      <c r="AR57" s="135">
        <f t="shared" si="150"/>
        <v>1</v>
      </c>
      <c r="AS57" s="31"/>
      <c r="AT57" s="134"/>
      <c r="AU57" s="135">
        <f t="shared" si="151"/>
        <v>1</v>
      </c>
      <c r="AV57" s="31"/>
      <c r="AW57" s="134"/>
      <c r="AX57" s="135">
        <f t="shared" si="152"/>
        <v>1</v>
      </c>
      <c r="AY57" s="31"/>
      <c r="AZ57" s="134"/>
      <c r="BA57" s="135">
        <f t="shared" si="153"/>
        <v>1</v>
      </c>
      <c r="BB57" s="31"/>
      <c r="BC57" s="134"/>
      <c r="BD57" s="135">
        <f t="shared" si="154"/>
        <v>1</v>
      </c>
      <c r="BE57" s="31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228" t="s">
        <v>120</v>
      </c>
      <c r="B58" s="229"/>
      <c r="C58" s="31"/>
      <c r="D58" s="134">
        <f t="shared" si="174"/>
        <v>0</v>
      </c>
      <c r="E58" s="31"/>
      <c r="F58" s="31"/>
      <c r="G58" s="134">
        <f t="shared" si="143"/>
        <v>0</v>
      </c>
      <c r="H58" s="31"/>
      <c r="I58" s="134">
        <f>G58+H58</f>
        <v>0</v>
      </c>
      <c r="J58" s="31"/>
      <c r="K58" s="134">
        <f>I58+J58</f>
        <v>0</v>
      </c>
      <c r="L58" s="31"/>
      <c r="M58" s="134">
        <f>K58+L58</f>
        <v>0</v>
      </c>
      <c r="N58" s="31"/>
      <c r="O58" s="134">
        <f>M58+N58</f>
        <v>0</v>
      </c>
      <c r="P58" s="31"/>
      <c r="Q58" s="134">
        <f>O58+P58</f>
        <v>0</v>
      </c>
      <c r="R58" s="31"/>
      <c r="S58" s="134">
        <f>Q58+R58</f>
        <v>0</v>
      </c>
      <c r="T58" s="31"/>
      <c r="U58" s="134">
        <f>S58+T58</f>
        <v>0</v>
      </c>
      <c r="V58" s="31"/>
      <c r="W58" s="134">
        <f>U58+V58</f>
        <v>0</v>
      </c>
      <c r="X58" s="31"/>
      <c r="Y58" s="134">
        <f>W58+X58</f>
        <v>0</v>
      </c>
      <c r="Z58" s="31"/>
      <c r="AA58" s="31"/>
      <c r="AB58" s="135">
        <f t="shared" si="145"/>
        <v>1</v>
      </c>
      <c r="AC58" s="31"/>
      <c r="AD58" s="31"/>
      <c r="AE58" s="134">
        <f t="shared" si="160"/>
        <v>0</v>
      </c>
      <c r="AF58" s="135">
        <f t="shared" si="146"/>
        <v>1</v>
      </c>
      <c r="AG58" s="31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31"/>
      <c r="AN58" s="134">
        <f>AK58+AM58</f>
        <v>0</v>
      </c>
      <c r="AO58" s="135">
        <f t="shared" si="149"/>
        <v>1</v>
      </c>
      <c r="AP58" s="31"/>
      <c r="AQ58" s="134">
        <f>AN58+AP58</f>
        <v>0</v>
      </c>
      <c r="AR58" s="135">
        <f t="shared" si="150"/>
        <v>1</v>
      </c>
      <c r="AS58" s="31"/>
      <c r="AT58" s="134">
        <f>AQ58+AS58</f>
        <v>0</v>
      </c>
      <c r="AU58" s="135">
        <f t="shared" si="151"/>
        <v>1</v>
      </c>
      <c r="AV58" s="31"/>
      <c r="AW58" s="134">
        <f>AT58+AV58</f>
        <v>0</v>
      </c>
      <c r="AX58" s="135">
        <f t="shared" si="152"/>
        <v>1</v>
      </c>
      <c r="AY58" s="31"/>
      <c r="AZ58" s="134">
        <f>AW58+AY58</f>
        <v>0</v>
      </c>
      <c r="BA58" s="135">
        <f t="shared" si="153"/>
        <v>1</v>
      </c>
      <c r="BB58" s="31"/>
      <c r="BC58" s="134">
        <f>AZ58+BB58</f>
        <v>0</v>
      </c>
      <c r="BD58" s="135">
        <f t="shared" si="154"/>
        <v>1</v>
      </c>
      <c r="BE58" s="31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228" t="s">
        <v>121</v>
      </c>
      <c r="B59" s="229"/>
      <c r="C59" s="29"/>
      <c r="D59" s="134">
        <f t="shared" si="174"/>
        <v>0</v>
      </c>
      <c r="E59" s="31"/>
      <c r="F59" s="31"/>
      <c r="G59" s="134">
        <f t="shared" si="143"/>
        <v>0</v>
      </c>
      <c r="H59" s="31"/>
      <c r="I59" s="134"/>
      <c r="J59" s="31"/>
      <c r="K59" s="134"/>
      <c r="L59" s="31"/>
      <c r="M59" s="134"/>
      <c r="N59" s="31"/>
      <c r="O59" s="134"/>
      <c r="P59" s="31"/>
      <c r="Q59" s="134"/>
      <c r="R59" s="31"/>
      <c r="S59" s="134"/>
      <c r="T59" s="31"/>
      <c r="U59" s="134"/>
      <c r="V59" s="31"/>
      <c r="W59" s="134"/>
      <c r="X59" s="31"/>
      <c r="Y59" s="134"/>
      <c r="Z59" s="31"/>
      <c r="AA59" s="31"/>
      <c r="AB59" s="135">
        <f t="shared" si="145"/>
        <v>1</v>
      </c>
      <c r="AC59" s="31"/>
      <c r="AD59" s="31"/>
      <c r="AE59" s="134">
        <f t="shared" si="160"/>
        <v>0</v>
      </c>
      <c r="AF59" s="135">
        <f t="shared" si="146"/>
        <v>1</v>
      </c>
      <c r="AG59" s="31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31"/>
      <c r="AN59" s="134"/>
      <c r="AO59" s="135">
        <f t="shared" si="149"/>
        <v>1</v>
      </c>
      <c r="AP59" s="31"/>
      <c r="AQ59" s="134"/>
      <c r="AR59" s="135">
        <f t="shared" si="150"/>
        <v>1</v>
      </c>
      <c r="AS59" s="31"/>
      <c r="AT59" s="134"/>
      <c r="AU59" s="135">
        <f t="shared" si="151"/>
        <v>1</v>
      </c>
      <c r="AV59" s="31"/>
      <c r="AW59" s="134"/>
      <c r="AX59" s="135">
        <f t="shared" si="152"/>
        <v>1</v>
      </c>
      <c r="AY59" s="31"/>
      <c r="AZ59" s="134"/>
      <c r="BA59" s="135">
        <f t="shared" si="153"/>
        <v>1</v>
      </c>
      <c r="BB59" s="31"/>
      <c r="BC59" s="134"/>
      <c r="BD59" s="135">
        <f t="shared" si="154"/>
        <v>1</v>
      </c>
      <c r="BE59" s="31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228" t="s">
        <v>122</v>
      </c>
      <c r="B60" s="229"/>
      <c r="C60" s="29"/>
      <c r="D60" s="134">
        <f t="shared" si="174"/>
        <v>0</v>
      </c>
      <c r="E60" s="31"/>
      <c r="F60" s="31"/>
      <c r="G60" s="134">
        <f t="shared" si="143"/>
        <v>0</v>
      </c>
      <c r="H60" s="31"/>
      <c r="I60" s="134"/>
      <c r="J60" s="31"/>
      <c r="K60" s="134"/>
      <c r="L60" s="31"/>
      <c r="M60" s="134"/>
      <c r="N60" s="31"/>
      <c r="O60" s="134"/>
      <c r="P60" s="31"/>
      <c r="Q60" s="134"/>
      <c r="R60" s="31"/>
      <c r="S60" s="134"/>
      <c r="T60" s="31"/>
      <c r="U60" s="134"/>
      <c r="V60" s="31"/>
      <c r="W60" s="134"/>
      <c r="X60" s="31"/>
      <c r="Y60" s="134"/>
      <c r="Z60" s="31"/>
      <c r="AA60" s="31"/>
      <c r="AB60" s="135">
        <f t="shared" si="145"/>
        <v>1</v>
      </c>
      <c r="AC60" s="31"/>
      <c r="AD60" s="31"/>
      <c r="AE60" s="134">
        <f t="shared" si="160"/>
        <v>0</v>
      </c>
      <c r="AF60" s="135">
        <f t="shared" si="146"/>
        <v>1</v>
      </c>
      <c r="AG60" s="31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31"/>
      <c r="AN60" s="134"/>
      <c r="AO60" s="135">
        <f t="shared" si="149"/>
        <v>1</v>
      </c>
      <c r="AP60" s="31"/>
      <c r="AQ60" s="134"/>
      <c r="AR60" s="135">
        <f t="shared" si="150"/>
        <v>1</v>
      </c>
      <c r="AS60" s="31"/>
      <c r="AT60" s="134"/>
      <c r="AU60" s="135">
        <f t="shared" si="151"/>
        <v>1</v>
      </c>
      <c r="AV60" s="31"/>
      <c r="AW60" s="134"/>
      <c r="AX60" s="135">
        <f t="shared" si="152"/>
        <v>1</v>
      </c>
      <c r="AY60" s="31"/>
      <c r="AZ60" s="134"/>
      <c r="BA60" s="135">
        <f t="shared" si="153"/>
        <v>1</v>
      </c>
      <c r="BB60" s="31"/>
      <c r="BC60" s="134"/>
      <c r="BD60" s="135">
        <f t="shared" si="154"/>
        <v>1</v>
      </c>
      <c r="BE60" s="31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228" t="s">
        <v>123</v>
      </c>
      <c r="B61" s="229"/>
      <c r="C61" s="31"/>
      <c r="D61" s="134">
        <f t="shared" si="174"/>
        <v>0</v>
      </c>
      <c r="E61" s="31"/>
      <c r="F61" s="31"/>
      <c r="G61" s="134">
        <f t="shared" si="143"/>
        <v>0</v>
      </c>
      <c r="H61" s="31"/>
      <c r="I61" s="134">
        <f>G61+H61</f>
        <v>0</v>
      </c>
      <c r="J61" s="31"/>
      <c r="K61" s="134">
        <f>I61+J61</f>
        <v>0</v>
      </c>
      <c r="L61" s="31"/>
      <c r="M61" s="134">
        <f>K61+L61</f>
        <v>0</v>
      </c>
      <c r="N61" s="31"/>
      <c r="O61" s="134">
        <f>M61+N61</f>
        <v>0</v>
      </c>
      <c r="P61" s="31"/>
      <c r="Q61" s="134">
        <f>O61+P61</f>
        <v>0</v>
      </c>
      <c r="R61" s="31"/>
      <c r="S61" s="134">
        <f>Q61+R61</f>
        <v>0</v>
      </c>
      <c r="T61" s="31"/>
      <c r="U61" s="134">
        <f>S61+T61</f>
        <v>0</v>
      </c>
      <c r="V61" s="31"/>
      <c r="W61" s="134">
        <f>U61+V61</f>
        <v>0</v>
      </c>
      <c r="X61" s="31"/>
      <c r="Y61" s="134">
        <f>W61+X61</f>
        <v>0</v>
      </c>
      <c r="Z61" s="31"/>
      <c r="AA61" s="31"/>
      <c r="AB61" s="135">
        <f t="shared" si="145"/>
        <v>1</v>
      </c>
      <c r="AC61" s="31"/>
      <c r="AD61" s="31"/>
      <c r="AE61" s="134">
        <f t="shared" si="160"/>
        <v>0</v>
      </c>
      <c r="AF61" s="135">
        <f t="shared" si="146"/>
        <v>1</v>
      </c>
      <c r="AG61" s="31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31"/>
      <c r="AN61" s="134">
        <f>AK61+AM61</f>
        <v>0</v>
      </c>
      <c r="AO61" s="135">
        <f t="shared" si="149"/>
        <v>1</v>
      </c>
      <c r="AP61" s="31"/>
      <c r="AQ61" s="134">
        <f>AN61+AP61</f>
        <v>0</v>
      </c>
      <c r="AR61" s="135">
        <f t="shared" si="150"/>
        <v>1</v>
      </c>
      <c r="AS61" s="31"/>
      <c r="AT61" s="134">
        <f>AQ61+AS61</f>
        <v>0</v>
      </c>
      <c r="AU61" s="135">
        <f t="shared" si="151"/>
        <v>1</v>
      </c>
      <c r="AV61" s="31"/>
      <c r="AW61" s="134">
        <f>AT61+AV61</f>
        <v>0</v>
      </c>
      <c r="AX61" s="135">
        <f t="shared" si="152"/>
        <v>1</v>
      </c>
      <c r="AY61" s="31"/>
      <c r="AZ61" s="134">
        <f>AW61+AY61</f>
        <v>0</v>
      </c>
      <c r="BA61" s="135">
        <f t="shared" si="153"/>
        <v>1</v>
      </c>
      <c r="BB61" s="31"/>
      <c r="BC61" s="134">
        <f>AZ61+BB61</f>
        <v>0</v>
      </c>
      <c r="BD61" s="135">
        <f t="shared" si="154"/>
        <v>1</v>
      </c>
      <c r="BE61" s="31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228" t="s">
        <v>124</v>
      </c>
      <c r="B62" s="229"/>
      <c r="C62" s="29"/>
      <c r="D62" s="134">
        <f t="shared" si="174"/>
        <v>0</v>
      </c>
      <c r="E62" s="31"/>
      <c r="F62" s="31"/>
      <c r="G62" s="134">
        <f t="shared" si="143"/>
        <v>0</v>
      </c>
      <c r="H62" s="31"/>
      <c r="I62" s="134"/>
      <c r="J62" s="31"/>
      <c r="K62" s="134"/>
      <c r="L62" s="31"/>
      <c r="M62" s="134"/>
      <c r="N62" s="31"/>
      <c r="O62" s="134"/>
      <c r="P62" s="31"/>
      <c r="Q62" s="134"/>
      <c r="R62" s="31"/>
      <c r="S62" s="134"/>
      <c r="T62" s="31"/>
      <c r="U62" s="134"/>
      <c r="V62" s="31"/>
      <c r="W62" s="134"/>
      <c r="X62" s="31"/>
      <c r="Y62" s="134"/>
      <c r="Z62" s="31"/>
      <c r="AA62" s="31"/>
      <c r="AB62" s="135">
        <f t="shared" si="145"/>
        <v>1</v>
      </c>
      <c r="AC62" s="31"/>
      <c r="AD62" s="31"/>
      <c r="AE62" s="134">
        <f t="shared" si="160"/>
        <v>0</v>
      </c>
      <c r="AF62" s="135">
        <f t="shared" si="146"/>
        <v>1</v>
      </c>
      <c r="AG62" s="31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31"/>
      <c r="AN62" s="134"/>
      <c r="AO62" s="135">
        <f t="shared" si="149"/>
        <v>1</v>
      </c>
      <c r="AP62" s="31"/>
      <c r="AQ62" s="134"/>
      <c r="AR62" s="135">
        <f t="shared" si="150"/>
        <v>1</v>
      </c>
      <c r="AS62" s="31"/>
      <c r="AT62" s="134"/>
      <c r="AU62" s="135">
        <f t="shared" si="151"/>
        <v>1</v>
      </c>
      <c r="AV62" s="31"/>
      <c r="AW62" s="134"/>
      <c r="AX62" s="135">
        <f t="shared" si="152"/>
        <v>1</v>
      </c>
      <c r="AY62" s="31"/>
      <c r="AZ62" s="134"/>
      <c r="BA62" s="135">
        <f t="shared" si="153"/>
        <v>1</v>
      </c>
      <c r="BB62" s="31"/>
      <c r="BC62" s="134"/>
      <c r="BD62" s="135">
        <f t="shared" si="154"/>
        <v>1</v>
      </c>
      <c r="BE62" s="31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228" t="s">
        <v>133</v>
      </c>
      <c r="B63" s="229"/>
      <c r="C63" s="29"/>
      <c r="D63" s="134">
        <f t="shared" si="174"/>
        <v>0</v>
      </c>
      <c r="E63" s="31"/>
      <c r="F63" s="31"/>
      <c r="G63" s="134">
        <f t="shared" si="143"/>
        <v>0</v>
      </c>
      <c r="H63" s="31"/>
      <c r="I63" s="134"/>
      <c r="J63" s="31"/>
      <c r="K63" s="134"/>
      <c r="L63" s="31"/>
      <c r="M63" s="134"/>
      <c r="N63" s="31"/>
      <c r="O63" s="134"/>
      <c r="P63" s="31"/>
      <c r="Q63" s="134"/>
      <c r="R63" s="31"/>
      <c r="S63" s="134"/>
      <c r="T63" s="31"/>
      <c r="U63" s="134"/>
      <c r="V63" s="31"/>
      <c r="W63" s="134"/>
      <c r="X63" s="31"/>
      <c r="Y63" s="134"/>
      <c r="Z63" s="31"/>
      <c r="AA63" s="31"/>
      <c r="AB63" s="135">
        <f t="shared" si="145"/>
        <v>1</v>
      </c>
      <c r="AC63" s="31"/>
      <c r="AD63" s="31"/>
      <c r="AE63" s="134">
        <f t="shared" si="160"/>
        <v>0</v>
      </c>
      <c r="AF63" s="135">
        <f t="shared" si="146"/>
        <v>1</v>
      </c>
      <c r="AG63" s="31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31"/>
      <c r="AN63" s="134"/>
      <c r="AO63" s="135">
        <f t="shared" si="149"/>
        <v>1</v>
      </c>
      <c r="AP63" s="31"/>
      <c r="AQ63" s="134"/>
      <c r="AR63" s="135">
        <f t="shared" si="150"/>
        <v>1</v>
      </c>
      <c r="AS63" s="31"/>
      <c r="AT63" s="134"/>
      <c r="AU63" s="135">
        <f t="shared" si="151"/>
        <v>1</v>
      </c>
      <c r="AV63" s="31"/>
      <c r="AW63" s="134"/>
      <c r="AX63" s="135">
        <f t="shared" si="152"/>
        <v>1</v>
      </c>
      <c r="AY63" s="31"/>
      <c r="AZ63" s="134"/>
      <c r="BA63" s="135">
        <f t="shared" si="153"/>
        <v>1</v>
      </c>
      <c r="BB63" s="31"/>
      <c r="BC63" s="134"/>
      <c r="BD63" s="135">
        <f t="shared" si="154"/>
        <v>1</v>
      </c>
      <c r="BE63" s="31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33"/>
      <c r="B64" s="174"/>
      <c r="C64" s="29"/>
      <c r="D64" s="134">
        <f t="shared" si="174"/>
        <v>0</v>
      </c>
      <c r="E64" s="31"/>
      <c r="F64" s="31"/>
      <c r="G64" s="134">
        <f t="shared" si="143"/>
        <v>0</v>
      </c>
      <c r="H64" s="31"/>
      <c r="I64" s="134"/>
      <c r="J64" s="31"/>
      <c r="K64" s="134"/>
      <c r="L64" s="31"/>
      <c r="M64" s="134"/>
      <c r="N64" s="31"/>
      <c r="O64" s="134"/>
      <c r="P64" s="31"/>
      <c r="Q64" s="134"/>
      <c r="R64" s="31"/>
      <c r="S64" s="134"/>
      <c r="T64" s="31"/>
      <c r="U64" s="134"/>
      <c r="V64" s="31"/>
      <c r="W64" s="134"/>
      <c r="X64" s="31"/>
      <c r="Y64" s="134"/>
      <c r="Z64" s="31"/>
      <c r="AA64" s="31"/>
      <c r="AB64" s="135">
        <f t="shared" si="145"/>
        <v>1</v>
      </c>
      <c r="AC64" s="31"/>
      <c r="AD64" s="31"/>
      <c r="AE64" s="134">
        <f t="shared" si="160"/>
        <v>0</v>
      </c>
      <c r="AF64" s="135">
        <f t="shared" si="146"/>
        <v>1</v>
      </c>
      <c r="AG64" s="31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31"/>
      <c r="AN64" s="134"/>
      <c r="AO64" s="135">
        <f t="shared" si="149"/>
        <v>1</v>
      </c>
      <c r="AP64" s="31"/>
      <c r="AQ64" s="134"/>
      <c r="AR64" s="135">
        <f t="shared" si="150"/>
        <v>1</v>
      </c>
      <c r="AS64" s="31"/>
      <c r="AT64" s="134"/>
      <c r="AU64" s="135">
        <f t="shared" si="151"/>
        <v>1</v>
      </c>
      <c r="AV64" s="31"/>
      <c r="AW64" s="134"/>
      <c r="AX64" s="135">
        <f t="shared" si="152"/>
        <v>1</v>
      </c>
      <c r="AY64" s="31"/>
      <c r="AZ64" s="134"/>
      <c r="BA64" s="135">
        <f t="shared" si="153"/>
        <v>1</v>
      </c>
      <c r="BB64" s="31"/>
      <c r="BC64" s="134"/>
      <c r="BD64" s="135">
        <f t="shared" si="154"/>
        <v>1</v>
      </c>
      <c r="BE64" s="31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33"/>
      <c r="B65" s="174"/>
      <c r="C65" s="29"/>
      <c r="D65" s="134">
        <f t="shared" si="174"/>
        <v>0</v>
      </c>
      <c r="E65" s="31"/>
      <c r="F65" s="31"/>
      <c r="G65" s="134">
        <f t="shared" si="143"/>
        <v>0</v>
      </c>
      <c r="H65" s="31"/>
      <c r="I65" s="134"/>
      <c r="J65" s="31"/>
      <c r="K65" s="134"/>
      <c r="L65" s="31"/>
      <c r="M65" s="134"/>
      <c r="N65" s="31"/>
      <c r="O65" s="134"/>
      <c r="P65" s="31"/>
      <c r="Q65" s="134"/>
      <c r="R65" s="31"/>
      <c r="S65" s="134"/>
      <c r="T65" s="31"/>
      <c r="U65" s="134"/>
      <c r="V65" s="31"/>
      <c r="W65" s="134"/>
      <c r="X65" s="31"/>
      <c r="Y65" s="134"/>
      <c r="Z65" s="31"/>
      <c r="AA65" s="31"/>
      <c r="AB65" s="135">
        <f t="shared" si="145"/>
        <v>1</v>
      </c>
      <c r="AC65" s="31"/>
      <c r="AD65" s="31"/>
      <c r="AE65" s="134">
        <f t="shared" si="160"/>
        <v>0</v>
      </c>
      <c r="AF65" s="135">
        <f t="shared" si="146"/>
        <v>1</v>
      </c>
      <c r="AG65" s="31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31"/>
      <c r="AN65" s="134"/>
      <c r="AO65" s="135">
        <f t="shared" si="149"/>
        <v>1</v>
      </c>
      <c r="AP65" s="31"/>
      <c r="AQ65" s="134"/>
      <c r="AR65" s="135">
        <f t="shared" si="150"/>
        <v>1</v>
      </c>
      <c r="AS65" s="31"/>
      <c r="AT65" s="134"/>
      <c r="AU65" s="135">
        <f t="shared" si="151"/>
        <v>1</v>
      </c>
      <c r="AV65" s="31"/>
      <c r="AW65" s="134"/>
      <c r="AX65" s="135">
        <f t="shared" si="152"/>
        <v>1</v>
      </c>
      <c r="AY65" s="31"/>
      <c r="AZ65" s="134"/>
      <c r="BA65" s="135">
        <f t="shared" si="153"/>
        <v>1</v>
      </c>
      <c r="BB65" s="31"/>
      <c r="BC65" s="134"/>
      <c r="BD65" s="135">
        <f t="shared" si="154"/>
        <v>1</v>
      </c>
      <c r="BE65" s="31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33"/>
      <c r="B66" s="174"/>
      <c r="C66" s="29"/>
      <c r="D66" s="134">
        <f t="shared" si="174"/>
        <v>0</v>
      </c>
      <c r="E66" s="31"/>
      <c r="F66" s="31"/>
      <c r="G66" s="134">
        <f t="shared" si="143"/>
        <v>0</v>
      </c>
      <c r="H66" s="31"/>
      <c r="I66" s="134"/>
      <c r="J66" s="31"/>
      <c r="K66" s="134"/>
      <c r="L66" s="31"/>
      <c r="M66" s="134"/>
      <c r="N66" s="31"/>
      <c r="O66" s="134"/>
      <c r="P66" s="31"/>
      <c r="Q66" s="134"/>
      <c r="R66" s="31"/>
      <c r="S66" s="134"/>
      <c r="T66" s="31"/>
      <c r="U66" s="134"/>
      <c r="V66" s="31"/>
      <c r="W66" s="134"/>
      <c r="X66" s="31"/>
      <c r="Y66" s="134"/>
      <c r="Z66" s="31"/>
      <c r="AA66" s="31"/>
      <c r="AB66" s="135">
        <f t="shared" si="145"/>
        <v>1</v>
      </c>
      <c r="AC66" s="31"/>
      <c r="AD66" s="31"/>
      <c r="AE66" s="134">
        <f t="shared" si="160"/>
        <v>0</v>
      </c>
      <c r="AF66" s="135">
        <f t="shared" si="146"/>
        <v>1</v>
      </c>
      <c r="AG66" s="31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31"/>
      <c r="AN66" s="134"/>
      <c r="AO66" s="135">
        <f t="shared" si="149"/>
        <v>1</v>
      </c>
      <c r="AP66" s="31"/>
      <c r="AQ66" s="134"/>
      <c r="AR66" s="135">
        <f t="shared" si="150"/>
        <v>1</v>
      </c>
      <c r="AS66" s="31"/>
      <c r="AT66" s="134"/>
      <c r="AU66" s="135">
        <f t="shared" si="151"/>
        <v>1</v>
      </c>
      <c r="AV66" s="31"/>
      <c r="AW66" s="134"/>
      <c r="AX66" s="135">
        <f t="shared" si="152"/>
        <v>1</v>
      </c>
      <c r="AY66" s="31"/>
      <c r="AZ66" s="134"/>
      <c r="BA66" s="135">
        <f t="shared" si="153"/>
        <v>1</v>
      </c>
      <c r="BB66" s="31"/>
      <c r="BC66" s="134"/>
      <c r="BD66" s="135">
        <f t="shared" si="154"/>
        <v>1</v>
      </c>
      <c r="BE66" s="31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33"/>
      <c r="B67" s="174"/>
      <c r="C67" s="29"/>
      <c r="D67" s="134">
        <f t="shared" si="174"/>
        <v>0</v>
      </c>
      <c r="E67" s="31"/>
      <c r="F67" s="31"/>
      <c r="G67" s="134">
        <f t="shared" si="143"/>
        <v>0</v>
      </c>
      <c r="H67" s="31"/>
      <c r="I67" s="134"/>
      <c r="J67" s="31"/>
      <c r="K67" s="134"/>
      <c r="L67" s="31"/>
      <c r="M67" s="134"/>
      <c r="N67" s="31"/>
      <c r="O67" s="134"/>
      <c r="P67" s="31"/>
      <c r="Q67" s="134"/>
      <c r="R67" s="31"/>
      <c r="S67" s="134"/>
      <c r="T67" s="31"/>
      <c r="U67" s="134"/>
      <c r="V67" s="31"/>
      <c r="W67" s="134"/>
      <c r="X67" s="31"/>
      <c r="Y67" s="134"/>
      <c r="Z67" s="31"/>
      <c r="AA67" s="31"/>
      <c r="AB67" s="135">
        <f t="shared" si="145"/>
        <v>1</v>
      </c>
      <c r="AC67" s="31"/>
      <c r="AD67" s="31"/>
      <c r="AE67" s="134">
        <f t="shared" si="160"/>
        <v>0</v>
      </c>
      <c r="AF67" s="135">
        <f t="shared" si="146"/>
        <v>1</v>
      </c>
      <c r="AG67" s="31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31"/>
      <c r="AN67" s="134"/>
      <c r="AO67" s="135">
        <f t="shared" si="149"/>
        <v>1</v>
      </c>
      <c r="AP67" s="31"/>
      <c r="AQ67" s="134"/>
      <c r="AR67" s="135">
        <f t="shared" si="150"/>
        <v>1</v>
      </c>
      <c r="AS67" s="31"/>
      <c r="AT67" s="134"/>
      <c r="AU67" s="135">
        <f t="shared" si="151"/>
        <v>1</v>
      </c>
      <c r="AV67" s="31"/>
      <c r="AW67" s="134"/>
      <c r="AX67" s="135">
        <f t="shared" si="152"/>
        <v>1</v>
      </c>
      <c r="AY67" s="31"/>
      <c r="AZ67" s="134"/>
      <c r="BA67" s="135">
        <f t="shared" si="153"/>
        <v>1</v>
      </c>
      <c r="BB67" s="31"/>
      <c r="BC67" s="134"/>
      <c r="BD67" s="135">
        <f t="shared" si="154"/>
        <v>1</v>
      </c>
      <c r="BE67" s="31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33"/>
      <c r="B68" s="174"/>
      <c r="C68" s="29"/>
      <c r="D68" s="134">
        <f t="shared" si="174"/>
        <v>0</v>
      </c>
      <c r="E68" s="31"/>
      <c r="F68" s="31"/>
      <c r="G68" s="134">
        <f t="shared" si="143"/>
        <v>0</v>
      </c>
      <c r="H68" s="31"/>
      <c r="I68" s="134"/>
      <c r="J68" s="31"/>
      <c r="K68" s="134"/>
      <c r="L68" s="31"/>
      <c r="M68" s="134"/>
      <c r="N68" s="31"/>
      <c r="O68" s="134"/>
      <c r="P68" s="31"/>
      <c r="Q68" s="134"/>
      <c r="R68" s="31"/>
      <c r="S68" s="134"/>
      <c r="T68" s="31"/>
      <c r="U68" s="134"/>
      <c r="V68" s="31"/>
      <c r="W68" s="134"/>
      <c r="X68" s="31"/>
      <c r="Y68" s="134"/>
      <c r="Z68" s="31"/>
      <c r="AA68" s="31"/>
      <c r="AB68" s="135">
        <f t="shared" si="145"/>
        <v>1</v>
      </c>
      <c r="AC68" s="31"/>
      <c r="AD68" s="31"/>
      <c r="AE68" s="134">
        <f t="shared" si="160"/>
        <v>0</v>
      </c>
      <c r="AF68" s="135">
        <f t="shared" si="146"/>
        <v>1</v>
      </c>
      <c r="AG68" s="31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31"/>
      <c r="AN68" s="134"/>
      <c r="AO68" s="135">
        <f t="shared" si="149"/>
        <v>1</v>
      </c>
      <c r="AP68" s="31"/>
      <c r="AQ68" s="134"/>
      <c r="AR68" s="135">
        <f t="shared" si="150"/>
        <v>1</v>
      </c>
      <c r="AS68" s="31"/>
      <c r="AT68" s="134"/>
      <c r="AU68" s="135">
        <f t="shared" si="151"/>
        <v>1</v>
      </c>
      <c r="AV68" s="31"/>
      <c r="AW68" s="134"/>
      <c r="AX68" s="135">
        <f t="shared" si="152"/>
        <v>1</v>
      </c>
      <c r="AY68" s="31"/>
      <c r="AZ68" s="134"/>
      <c r="BA68" s="135">
        <f t="shared" si="153"/>
        <v>1</v>
      </c>
      <c r="BB68" s="31"/>
      <c r="BC68" s="134"/>
      <c r="BD68" s="135">
        <f t="shared" si="154"/>
        <v>1</v>
      </c>
      <c r="BE68" s="31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33"/>
      <c r="B69" s="174"/>
      <c r="C69" s="29"/>
      <c r="D69" s="134">
        <f t="shared" si="174"/>
        <v>0</v>
      </c>
      <c r="E69" s="31"/>
      <c r="F69" s="31"/>
      <c r="G69" s="134">
        <f t="shared" si="143"/>
        <v>0</v>
      </c>
      <c r="H69" s="31"/>
      <c r="I69" s="134"/>
      <c r="J69" s="31"/>
      <c r="K69" s="134"/>
      <c r="L69" s="31"/>
      <c r="M69" s="134"/>
      <c r="N69" s="31"/>
      <c r="O69" s="134"/>
      <c r="P69" s="31"/>
      <c r="Q69" s="134"/>
      <c r="R69" s="31"/>
      <c r="S69" s="134"/>
      <c r="T69" s="31"/>
      <c r="U69" s="134"/>
      <c r="V69" s="31"/>
      <c r="W69" s="134"/>
      <c r="X69" s="31"/>
      <c r="Y69" s="134"/>
      <c r="Z69" s="31"/>
      <c r="AA69" s="31"/>
      <c r="AB69" s="135">
        <f t="shared" si="145"/>
        <v>1</v>
      </c>
      <c r="AC69" s="31"/>
      <c r="AD69" s="31"/>
      <c r="AE69" s="134">
        <f t="shared" si="160"/>
        <v>0</v>
      </c>
      <c r="AF69" s="135">
        <f t="shared" si="146"/>
        <v>1</v>
      </c>
      <c r="AG69" s="31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31"/>
      <c r="AN69" s="134"/>
      <c r="AO69" s="135">
        <f t="shared" si="149"/>
        <v>1</v>
      </c>
      <c r="AP69" s="31"/>
      <c r="AQ69" s="134"/>
      <c r="AR69" s="135">
        <f t="shared" si="150"/>
        <v>1</v>
      </c>
      <c r="AS69" s="31"/>
      <c r="AT69" s="134"/>
      <c r="AU69" s="135">
        <f t="shared" si="151"/>
        <v>1</v>
      </c>
      <c r="AV69" s="31"/>
      <c r="AW69" s="134"/>
      <c r="AX69" s="135">
        <f t="shared" si="152"/>
        <v>1</v>
      </c>
      <c r="AY69" s="31"/>
      <c r="AZ69" s="134"/>
      <c r="BA69" s="135">
        <f t="shared" si="153"/>
        <v>1</v>
      </c>
      <c r="BB69" s="31"/>
      <c r="BC69" s="134"/>
      <c r="BD69" s="135">
        <f t="shared" si="154"/>
        <v>1</v>
      </c>
      <c r="BE69" s="31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33"/>
      <c r="B70" s="174"/>
      <c r="C70" s="29"/>
      <c r="D70" s="134">
        <f t="shared" si="174"/>
        <v>0</v>
      </c>
      <c r="E70" s="31"/>
      <c r="F70" s="31"/>
      <c r="G70" s="134">
        <f t="shared" si="143"/>
        <v>0</v>
      </c>
      <c r="H70" s="31"/>
      <c r="I70" s="134"/>
      <c r="J70" s="31"/>
      <c r="K70" s="134"/>
      <c r="L70" s="31"/>
      <c r="M70" s="134"/>
      <c r="N70" s="31"/>
      <c r="O70" s="134"/>
      <c r="P70" s="31"/>
      <c r="Q70" s="134"/>
      <c r="R70" s="31"/>
      <c r="S70" s="134"/>
      <c r="T70" s="31"/>
      <c r="U70" s="134"/>
      <c r="V70" s="31"/>
      <c r="W70" s="134"/>
      <c r="X70" s="31"/>
      <c r="Y70" s="134"/>
      <c r="Z70" s="31"/>
      <c r="AA70" s="31"/>
      <c r="AB70" s="135">
        <f t="shared" si="145"/>
        <v>1</v>
      </c>
      <c r="AC70" s="31"/>
      <c r="AD70" s="31"/>
      <c r="AE70" s="134">
        <f t="shared" si="160"/>
        <v>0</v>
      </c>
      <c r="AF70" s="135">
        <f t="shared" si="146"/>
        <v>1</v>
      </c>
      <c r="AG70" s="31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31"/>
      <c r="AN70" s="134"/>
      <c r="AO70" s="135">
        <f t="shared" si="149"/>
        <v>1</v>
      </c>
      <c r="AP70" s="31"/>
      <c r="AQ70" s="134"/>
      <c r="AR70" s="135">
        <f t="shared" si="150"/>
        <v>1</v>
      </c>
      <c r="AS70" s="31"/>
      <c r="AT70" s="134"/>
      <c r="AU70" s="135">
        <f t="shared" si="151"/>
        <v>1</v>
      </c>
      <c r="AV70" s="31"/>
      <c r="AW70" s="134"/>
      <c r="AX70" s="135">
        <f t="shared" si="152"/>
        <v>1</v>
      </c>
      <c r="AY70" s="31"/>
      <c r="AZ70" s="134"/>
      <c r="BA70" s="135">
        <f t="shared" si="153"/>
        <v>1</v>
      </c>
      <c r="BB70" s="31"/>
      <c r="BC70" s="134"/>
      <c r="BD70" s="135">
        <f t="shared" si="154"/>
        <v>1</v>
      </c>
      <c r="BE70" s="31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33"/>
      <c r="B71" s="174"/>
      <c r="C71" s="29"/>
      <c r="D71" s="134">
        <f t="shared" si="174"/>
        <v>0</v>
      </c>
      <c r="E71" s="31"/>
      <c r="F71" s="31"/>
      <c r="G71" s="134">
        <f t="shared" si="143"/>
        <v>0</v>
      </c>
      <c r="H71" s="31"/>
      <c r="I71" s="134"/>
      <c r="J71" s="31"/>
      <c r="K71" s="134"/>
      <c r="L71" s="31"/>
      <c r="M71" s="134"/>
      <c r="N71" s="31"/>
      <c r="O71" s="134"/>
      <c r="P71" s="31"/>
      <c r="Q71" s="134"/>
      <c r="R71" s="31"/>
      <c r="S71" s="134"/>
      <c r="T71" s="31"/>
      <c r="U71" s="134"/>
      <c r="V71" s="31"/>
      <c r="W71" s="134"/>
      <c r="X71" s="31"/>
      <c r="Y71" s="134"/>
      <c r="Z71" s="31"/>
      <c r="AA71" s="31"/>
      <c r="AB71" s="135">
        <f t="shared" si="145"/>
        <v>1</v>
      </c>
      <c r="AC71" s="31"/>
      <c r="AD71" s="31"/>
      <c r="AE71" s="134">
        <f t="shared" si="160"/>
        <v>0</v>
      </c>
      <c r="AF71" s="135">
        <f t="shared" si="146"/>
        <v>1</v>
      </c>
      <c r="AG71" s="31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31"/>
      <c r="AN71" s="134"/>
      <c r="AO71" s="135">
        <f t="shared" si="149"/>
        <v>1</v>
      </c>
      <c r="AP71" s="31"/>
      <c r="AQ71" s="134"/>
      <c r="AR71" s="135">
        <f t="shared" si="150"/>
        <v>1</v>
      </c>
      <c r="AS71" s="31"/>
      <c r="AT71" s="134"/>
      <c r="AU71" s="135">
        <f t="shared" si="151"/>
        <v>1</v>
      </c>
      <c r="AV71" s="31"/>
      <c r="AW71" s="134"/>
      <c r="AX71" s="135">
        <f t="shared" si="152"/>
        <v>1</v>
      </c>
      <c r="AY71" s="31"/>
      <c r="AZ71" s="134"/>
      <c r="BA71" s="135">
        <f t="shared" si="153"/>
        <v>1</v>
      </c>
      <c r="BB71" s="31"/>
      <c r="BC71" s="134"/>
      <c r="BD71" s="135">
        <f t="shared" si="154"/>
        <v>1</v>
      </c>
      <c r="BE71" s="31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33"/>
      <c r="B72" s="174"/>
      <c r="C72" s="29"/>
      <c r="D72" s="134">
        <f t="shared" si="174"/>
        <v>0</v>
      </c>
      <c r="E72" s="31"/>
      <c r="F72" s="31"/>
      <c r="G72" s="134">
        <f t="shared" si="143"/>
        <v>0</v>
      </c>
      <c r="H72" s="31"/>
      <c r="I72" s="134"/>
      <c r="J72" s="31"/>
      <c r="K72" s="134"/>
      <c r="L72" s="31"/>
      <c r="M72" s="134"/>
      <c r="N72" s="31"/>
      <c r="O72" s="134"/>
      <c r="P72" s="31"/>
      <c r="Q72" s="134"/>
      <c r="R72" s="31"/>
      <c r="S72" s="134"/>
      <c r="T72" s="31"/>
      <c r="U72" s="134"/>
      <c r="V72" s="31"/>
      <c r="W72" s="134"/>
      <c r="X72" s="31"/>
      <c r="Y72" s="134"/>
      <c r="Z72" s="31"/>
      <c r="AA72" s="31"/>
      <c r="AB72" s="135">
        <f t="shared" si="145"/>
        <v>1</v>
      </c>
      <c r="AC72" s="31"/>
      <c r="AD72" s="31"/>
      <c r="AE72" s="134">
        <f t="shared" si="160"/>
        <v>0</v>
      </c>
      <c r="AF72" s="135">
        <f t="shared" si="146"/>
        <v>1</v>
      </c>
      <c r="AG72" s="31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31"/>
      <c r="AN72" s="134"/>
      <c r="AO72" s="135">
        <f t="shared" si="149"/>
        <v>1</v>
      </c>
      <c r="AP72" s="31"/>
      <c r="AQ72" s="134"/>
      <c r="AR72" s="135">
        <f t="shared" si="150"/>
        <v>1</v>
      </c>
      <c r="AS72" s="31"/>
      <c r="AT72" s="134"/>
      <c r="AU72" s="135">
        <f t="shared" si="151"/>
        <v>1</v>
      </c>
      <c r="AV72" s="31"/>
      <c r="AW72" s="134"/>
      <c r="AX72" s="135">
        <f t="shared" si="152"/>
        <v>1</v>
      </c>
      <c r="AY72" s="31"/>
      <c r="AZ72" s="134"/>
      <c r="BA72" s="135">
        <f t="shared" si="153"/>
        <v>1</v>
      </c>
      <c r="BB72" s="31"/>
      <c r="BC72" s="134"/>
      <c r="BD72" s="135">
        <f t="shared" si="154"/>
        <v>1</v>
      </c>
      <c r="BE72" s="31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33"/>
      <c r="B73" s="174"/>
      <c r="C73" s="29"/>
      <c r="D73" s="134">
        <f t="shared" si="174"/>
        <v>0</v>
      </c>
      <c r="E73" s="31"/>
      <c r="F73" s="31"/>
      <c r="G73" s="134">
        <f t="shared" si="143"/>
        <v>0</v>
      </c>
      <c r="H73" s="31"/>
      <c r="I73" s="134"/>
      <c r="J73" s="31"/>
      <c r="K73" s="134"/>
      <c r="L73" s="31"/>
      <c r="M73" s="134"/>
      <c r="N73" s="31"/>
      <c r="O73" s="134"/>
      <c r="P73" s="31"/>
      <c r="Q73" s="134"/>
      <c r="R73" s="31"/>
      <c r="S73" s="134"/>
      <c r="T73" s="31"/>
      <c r="U73" s="134"/>
      <c r="V73" s="31"/>
      <c r="W73" s="134"/>
      <c r="X73" s="31"/>
      <c r="Y73" s="134"/>
      <c r="Z73" s="31"/>
      <c r="AA73" s="31"/>
      <c r="AB73" s="135">
        <f t="shared" ref="AB73" si="177">IF(D73=0,1,AA73/D73-1)</f>
        <v>1</v>
      </c>
      <c r="AC73" s="31"/>
      <c r="AD73" s="31"/>
      <c r="AE73" s="134">
        <f t="shared" si="160"/>
        <v>0</v>
      </c>
      <c r="AF73" s="135">
        <f t="shared" ref="AF73" si="178">IF(G73=0,1,AE73/G73-1)</f>
        <v>1</v>
      </c>
      <c r="AG73" s="31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31"/>
      <c r="AN73" s="134"/>
      <c r="AO73" s="135">
        <f t="shared" ref="AO73" si="181">IF(M73=0,1,AN73/M73-1)</f>
        <v>1</v>
      </c>
      <c r="AP73" s="31"/>
      <c r="AQ73" s="134"/>
      <c r="AR73" s="135">
        <f t="shared" ref="AR73" si="182">IF(O73=0,1,AQ73/O73-1)</f>
        <v>1</v>
      </c>
      <c r="AS73" s="31"/>
      <c r="AT73" s="134"/>
      <c r="AU73" s="135">
        <f t="shared" ref="AU73" si="183">IF(Q73=0,1,AT73/Q73-1)</f>
        <v>1</v>
      </c>
      <c r="AV73" s="31"/>
      <c r="AW73" s="134"/>
      <c r="AX73" s="135">
        <f t="shared" ref="AX73" si="184">IF(S73=0,1,AW73/S73-1)</f>
        <v>1</v>
      </c>
      <c r="AY73" s="31"/>
      <c r="AZ73" s="134"/>
      <c r="BA73" s="135">
        <f t="shared" ref="BA73" si="185">IF(U73=0,1,AZ73/U73-1)</f>
        <v>1</v>
      </c>
      <c r="BB73" s="31"/>
      <c r="BC73" s="134"/>
      <c r="BD73" s="135">
        <f t="shared" ref="BD73" si="186">IF(W73=0,1,BC73/W73-1)</f>
        <v>1</v>
      </c>
      <c r="BE73" s="31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217" t="s">
        <v>50</v>
      </c>
      <c r="B74" s="218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221" t="s">
        <v>52</v>
      </c>
      <c r="B75" s="222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#REF!</v>
      </c>
      <c r="AD75" s="133" t="e">
        <f t="shared" si="193"/>
        <v>#REF!</v>
      </c>
      <c r="AE75" s="133" t="e">
        <f t="shared" si="193"/>
        <v>#REF!</v>
      </c>
      <c r="AF75" s="144" t="s">
        <v>51</v>
      </c>
      <c r="AG75" s="133" t="e">
        <f>IF(AG74&gt;0,"-",-AG74/(AG10-AG12))</f>
        <v>#REF!</v>
      </c>
      <c r="AH75" s="133" t="e">
        <f>IF(AH74&gt;0,"-",-AH74/(AH10-AH12))</f>
        <v>#REF!</v>
      </c>
      <c r="AI75" s="144" t="s">
        <v>51</v>
      </c>
      <c r="AJ75" s="133" t="e">
        <f>IF(AJ74&gt;0,"-",-AJ74/(AJ10-AJ12))</f>
        <v>#REF!</v>
      </c>
      <c r="AK75" s="133" t="e">
        <f>IF(AK74&gt;0,"-",-AK74/(AK10-AK12))</f>
        <v>#REF!</v>
      </c>
      <c r="AL75" s="144" t="s">
        <v>51</v>
      </c>
      <c r="AM75" s="133" t="e">
        <f>IF(AM74&gt;0,"-",-AM74/(AM10-AM12))</f>
        <v>#REF!</v>
      </c>
      <c r="AN75" s="133" t="e">
        <f>IF(AN74&gt;0,"-",-AN74/(AN10-AN12))</f>
        <v>#REF!</v>
      </c>
      <c r="AO75" s="144" t="s">
        <v>51</v>
      </c>
      <c r="AP75" s="133" t="e">
        <f>IF(AP74&gt;0,"-",-AP74/(AP10-AP12))</f>
        <v>#REF!</v>
      </c>
      <c r="AQ75" s="133" t="e">
        <f>IF(AQ74&gt;0,"-",-AQ74/(AQ10-AQ12))</f>
        <v>#REF!</v>
      </c>
      <c r="AR75" s="144" t="s">
        <v>51</v>
      </c>
      <c r="AS75" s="133" t="e">
        <f>IF(AS74&gt;0,"-",-AS74/(AS10-AS12))</f>
        <v>#REF!</v>
      </c>
      <c r="AT75" s="133" t="e">
        <f>IF(AT74&gt;0,"-",-AT74/(AT10-AT12))</f>
        <v>#REF!</v>
      </c>
      <c r="AU75" s="144" t="s">
        <v>51</v>
      </c>
      <c r="AV75" s="133" t="e">
        <f>IF(AV74&gt;0,"-",-AV74/(AV10-AV12))</f>
        <v>#REF!</v>
      </c>
      <c r="AW75" s="133" t="e">
        <f>IF(AW74&gt;0,"-",-AW74/(AW10-AW12))</f>
        <v>#REF!</v>
      </c>
      <c r="AX75" s="144" t="s">
        <v>51</v>
      </c>
      <c r="AY75" s="133" t="e">
        <f>IF(AY74&gt;0,"-",-AY74/(AY10-AY12))</f>
        <v>#REF!</v>
      </c>
      <c r="AZ75" s="133" t="e">
        <f>IF(AZ74&gt;0,"-",-AZ74/(AZ10-AZ12))</f>
        <v>#REF!</v>
      </c>
      <c r="BA75" s="144" t="s">
        <v>51</v>
      </c>
      <c r="BB75" s="133" t="e">
        <f>IF(BB74&gt;0,"-",-BB74/(BB10-BB12))</f>
        <v>#REF!</v>
      </c>
      <c r="BC75" s="133" t="e">
        <f>IF(BC74&gt;0,"-",-BC74/(BC10-BC12))</f>
        <v>#REF!</v>
      </c>
      <c r="BD75" s="144" t="s">
        <v>51</v>
      </c>
      <c r="BE75" s="133" t="e">
        <f>IF(BE74&gt;0,"-",-BE74/(BE10-BE12))</f>
        <v>#REF!</v>
      </c>
      <c r="BF75" s="133" t="e">
        <f>IF(BF74&gt;0,"-",-BF74/(BF10-BF12))</f>
        <v>#REF!</v>
      </c>
      <c r="BG75" s="144" t="s">
        <v>51</v>
      </c>
      <c r="BH75" s="133" t="e">
        <f t="shared" ref="BH75:BJ75" si="194">IF(BH74&gt;0,"-",-BH74/(BH10-BH12))</f>
        <v>#REF!</v>
      </c>
      <c r="BI75" s="133" t="e">
        <f t="shared" si="194"/>
        <v>#REF!</v>
      </c>
      <c r="BJ75" s="133" t="e">
        <f t="shared" si="194"/>
        <v>#REF!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244" t="s">
        <v>127</v>
      </c>
      <c r="B76" s="245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e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#REF!</v>
      </c>
      <c r="AD76" s="145" t="e">
        <f t="shared" si="197"/>
        <v>#REF!</v>
      </c>
      <c r="AE76" s="145" t="e">
        <f t="shared" si="197"/>
        <v>#REF!</v>
      </c>
      <c r="AF76" s="144" t="s">
        <v>51</v>
      </c>
      <c r="AG76" s="145" t="e">
        <f>IF(OR(AG10-AG12=0,AG74&gt;=0),"-",IF(AND(AG78&lt;=0,AG87&lt;=0),(-AG74)/(AG10-AG12),IF(AND(AG87&gt;0,AG78&lt;=0),(-AG74-AG87)/(AG10-AG12),IF(AND(AG87&lt;=0,AG78&gt;0),(-AG74-AG78)/(AG10-AG12),(-AG74-AG78-AG87)/(AG10-AG12)))))</f>
        <v>#REF!</v>
      </c>
      <c r="AH76" s="145" t="e">
        <f>IF(OR(AH10-AH12=0,AH74&gt;=0),"-",IF(AND(AH78&lt;=0,AH87&lt;=0),(-AH74)/(AH10-AH12),IF(AND(AH87&gt;0,AH78&lt;=0),(-AH74-AH87)/(AH10-AH12),IF(AND(AH87&lt;=0,AH78&gt;0),(-AH74-AH78)/(AH10-AH12),(-AH74-AH78-AH87)/(AH10-AH12)))))</f>
        <v>#REF!</v>
      </c>
      <c r="AI76" s="144" t="s">
        <v>51</v>
      </c>
      <c r="AJ76" s="145" t="e">
        <f>IF(OR(AJ10-AJ12=0,AJ74&gt;=0),"-",IF(AND(AJ78&lt;=0,AJ87&lt;=0),(-AJ74)/(AJ10-AJ12),IF(AND(AJ87&gt;0,AJ78&lt;=0),(-AJ74-AJ87)/(AJ10-AJ12),IF(AND(AJ87&lt;=0,AJ78&gt;0),(-AJ74-AJ78)/(AJ10-AJ12),(-AJ74-AJ78-AJ87)/(AJ10-AJ12)))))</f>
        <v>#REF!</v>
      </c>
      <c r="AK76" s="145" t="e">
        <f>IF(OR(AK10-AK12=0,AK74&gt;=0),"-",IF(AND(AK78&lt;=0,AK87&lt;=0),(-AK74)/(AK10-AK12),IF(AND(AK87&gt;0,AK78&lt;=0),(-AK74-AK87)/(AK10-AK12),IF(AND(AK87&lt;=0,AK78&gt;0),(-AK74-AK78)/(AK10-AK12),(-AK74-AK78-AK87)/(AK10-AK12)))))</f>
        <v>#REF!</v>
      </c>
      <c r="AL76" s="144" t="s">
        <v>51</v>
      </c>
      <c r="AM76" s="145" t="e">
        <f>IF(OR(AM10-AM12=0,AM74&gt;=0),"-",IF(AND(AM78&lt;=0,AM87&lt;=0),(-AM74)/(AM10-AM12),IF(AND(AM87&gt;0,AM78&lt;=0),(-AM74-AM87)/(AM10-AM12),IF(AND(AM87&lt;=0,AM78&gt;0),(-AM74-AM78)/(AM10-AM12),(-AM74-AM78-AM87)/(AM10-AM12)))))</f>
        <v>#REF!</v>
      </c>
      <c r="AN76" s="145" t="e">
        <f>IF(OR(AN10-AN12=0,AN74&gt;=0),"-",IF(AND(AN78&lt;=0,AN87&lt;=0),(-AN74)/(AN10-AN12),IF(AND(AN87&gt;0,AN78&lt;=0),(-AN74-AN87)/(AN10-AN12),IF(AND(AN87&lt;=0,AN78&gt;0),(-AN74-AN78)/(AN10-AN12),(-AN74-AN78-AN87)/(AN10-AN12)))))</f>
        <v>#REF!</v>
      </c>
      <c r="AO76" s="144" t="s">
        <v>51</v>
      </c>
      <c r="AP76" s="145" t="e">
        <f>IF(OR(AP10-AP12=0,AP74&gt;=0),"-",IF(AND(AP78&lt;=0,AP87&lt;=0),(-AP74)/(AP10-AP12),IF(AND(AP87&gt;0,AP78&lt;=0),(-AP74-AP87)/(AP10-AP12),IF(AND(AP87&lt;=0,AP78&gt;0),(-AP74-AP78)/(AP10-AP12),(-AP74-AP78-AP87)/(AP10-AP12)))))</f>
        <v>#REF!</v>
      </c>
      <c r="AQ76" s="145" t="e">
        <f>IF(OR(AQ10-AQ12=0,AQ74&gt;=0),"-",IF(AND(AQ78&lt;=0,AQ87&lt;=0),(-AQ74)/(AQ10-AQ12),IF(AND(AQ87&gt;0,AQ78&lt;=0),(-AQ74-AQ87)/(AQ10-AQ12),IF(AND(AQ87&lt;=0,AQ78&gt;0),(-AQ74-AQ78)/(AQ10-AQ12),(-AQ74-AQ78-AQ87)/(AQ10-AQ12)))))</f>
        <v>#REF!</v>
      </c>
      <c r="AR76" s="144" t="s">
        <v>51</v>
      </c>
      <c r="AS76" s="145" t="e">
        <f>IF(OR(AS10-AS12=0,AS74&gt;=0),"-",IF(AND(AS78&lt;=0,AS87&lt;=0),(-AS74)/(AS10-AS12),IF(AND(AS87&gt;0,AS78&lt;=0),(-AS74-AS87)/(AS10-AS12),IF(AND(AS87&lt;=0,AS78&gt;0),(-AS74-AS78)/(AS10-AS12),(-AS74-AS78-AS87)/(AS10-AS12)))))</f>
        <v>#REF!</v>
      </c>
      <c r="AT76" s="145" t="e">
        <f>IF(OR(AT10-AT12=0,AT74&gt;=0),"-",IF(AND(AT78&lt;=0,AT87&lt;=0),(-AT74)/(AT10-AT12),IF(AND(AT87&gt;0,AT78&lt;=0),(-AT74-AT87)/(AT10-AT12),IF(AND(AT87&lt;=0,AT78&gt;0),(-AT74-AT78)/(AT10-AT12),(-AT74-AT78-AT87)/(AT10-AT12)))))</f>
        <v>#REF!</v>
      </c>
      <c r="AU76" s="144" t="s">
        <v>51</v>
      </c>
      <c r="AV76" s="145" t="e">
        <f>IF(OR(AV10-AV12=0,AV74&gt;=0),"-",IF(AND(AV78&lt;=0,AV87&lt;=0),(-AV74)/(AV10-AV12),IF(AND(AV87&gt;0,AV78&lt;=0),(-AV74-AV87)/(AV10-AV12),IF(AND(AV87&lt;=0,AV78&gt;0),(-AV74-AV78)/(AV10-AV12),(-AV74-AV78-AV87)/(AV10-AV12)))))</f>
        <v>#REF!</v>
      </c>
      <c r="AW76" s="145" t="e">
        <f>IF(OR(AW10-AW12=0,AW74&gt;=0),"-",IF(AND(AW78&lt;=0,AW87&lt;=0),(-AW74)/(AW10-AW12),IF(AND(AW87&gt;0,AW78&lt;=0),(-AW74-AW87)/(AW10-AW12),IF(AND(AW87&lt;=0,AW78&gt;0),(-AW74-AW78)/(AW10-AW12),(-AW74-AW78-AW87)/(AW10-AW12)))))</f>
        <v>#REF!</v>
      </c>
      <c r="AX76" s="144" t="s">
        <v>51</v>
      </c>
      <c r="AY76" s="145" t="e">
        <f>IF(OR(AY10-AY12=0,AY74&gt;=0),"-",IF(AND(AY78&lt;=0,AY87&lt;=0),(-AY74)/(AY10-AY12),IF(AND(AY87&gt;0,AY78&lt;=0),(-AY74-AY87)/(AY10-AY12),IF(AND(AY87&lt;=0,AY78&gt;0),(-AY74-AY78)/(AY10-AY12),(-AY74-AY78-AY87)/(AY10-AY12)))))</f>
        <v>#REF!</v>
      </c>
      <c r="AZ76" s="145" t="e">
        <f>IF(OR(AZ10-AZ12=0,AZ74&gt;=0),"-",IF(AND(AZ78&lt;=0,AZ87&lt;=0),(-AZ74)/(AZ10-AZ12),IF(AND(AZ87&gt;0,AZ78&lt;=0),(-AZ74-AZ87)/(AZ10-AZ12),IF(AND(AZ87&lt;=0,AZ78&gt;0),(-AZ74-AZ78)/(AZ10-AZ12),(-AZ74-AZ78-AZ87)/(AZ10-AZ12)))))</f>
        <v>#REF!</v>
      </c>
      <c r="BA76" s="144" t="s">
        <v>51</v>
      </c>
      <c r="BB76" s="145" t="e">
        <f>IF(OR(BB10-BB12=0,BB74&gt;=0),"-",IF(AND(BB78&lt;=0,BB87&lt;=0),(-BB74)/(BB10-BB12),IF(AND(BB87&gt;0,BB78&lt;=0),(-BB74-BB87)/(BB10-BB12),IF(AND(BB87&lt;=0,BB78&gt;0),(-BB74-BB78)/(BB10-BB12),(-BB74-BB78-BB87)/(BB10-BB12)))))</f>
        <v>#REF!</v>
      </c>
      <c r="BC76" s="145" t="e">
        <f>IF(OR(BC10-BC12=0,BC74&gt;=0),"-",IF(AND(BC78&lt;=0,BC87&lt;=0),(-BC74)/(BC10-BC12),IF(AND(BC87&gt;0,BC78&lt;=0),(-BC74-BC87)/(BC10-BC12),IF(AND(BC87&lt;=0,BC78&gt;0),(-BC74-BC78)/(BC10-BC12),(-BC74-BC78-BC87)/(BC10-BC12)))))</f>
        <v>#REF!</v>
      </c>
      <c r="BD76" s="144" t="s">
        <v>51</v>
      </c>
      <c r="BE76" s="145" t="e">
        <f>IF(OR(BE10-BE12=0,BE74&gt;=0),"-",IF(AND(BE78&lt;=0,BE87&lt;=0),(-BE74)/(BE10-BE12),IF(AND(BE87&gt;0,BE78&lt;=0),(-BE74-BE87)/(BE10-BE12),IF(AND(BE87&lt;=0,BE78&gt;0),(-BE74-BE78)/(BE10-BE12),(-BE74-BE78-BE87)/(BE10-BE12)))))</f>
        <v>#REF!</v>
      </c>
      <c r="BF76" s="145" t="e">
        <f>IF(OR(BF10-BF12=0,BF74&gt;=0),"-",IF(AND(BF78&lt;=0,BF87&lt;=0),(-BF74)/(BF10-BF12),IF(AND(BF87&gt;0,BF78&lt;=0),(-BF74-BF87)/(BF10-BF12),IF(AND(BF87&lt;=0,BF78&gt;0),(-BF74-BF78)/(BF10-BF12),(-BF74-BF78-BF87)/(BF10-BF12)))))</f>
        <v>#REF!</v>
      </c>
      <c r="BG76" s="144" t="s">
        <v>51</v>
      </c>
      <c r="BH76" s="145" t="e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#REF!</v>
      </c>
      <c r="BI76" s="145" t="e">
        <f t="shared" si="198"/>
        <v>#REF!</v>
      </c>
      <c r="BJ76" s="145" t="e">
        <f t="shared" si="198"/>
        <v>#REF!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217" t="s">
        <v>53</v>
      </c>
      <c r="B77" s="218"/>
      <c r="C77" s="146">
        <f t="shared" ref="C77" si="199">C78+C81+C84+C87</f>
        <v>0</v>
      </c>
      <c r="D77" s="146">
        <f>D78+D81+D84+D87</f>
        <v>0</v>
      </c>
      <c r="E77" s="146">
        <f t="shared" ref="E77:J77" si="200">E78+E81+E84+E87</f>
        <v>0</v>
      </c>
      <c r="F77" s="146">
        <f t="shared" si="200"/>
        <v>0</v>
      </c>
      <c r="G77" s="146">
        <f t="shared" si="200"/>
        <v>0</v>
      </c>
      <c r="H77" s="146">
        <f t="shared" si="200"/>
        <v>0</v>
      </c>
      <c r="I77" s="146">
        <f>I78+I81+I84+I87</f>
        <v>0</v>
      </c>
      <c r="J77" s="146">
        <f t="shared" si="200"/>
        <v>0</v>
      </c>
      <c r="K77" s="146">
        <f>K78+K81+K84+K87</f>
        <v>0</v>
      </c>
      <c r="L77" s="146">
        <f t="shared" ref="L77" si="201">L78+L81+L84+L87</f>
        <v>0</v>
      </c>
      <c r="M77" s="146">
        <f>M78+M81+M84+M87</f>
        <v>0</v>
      </c>
      <c r="N77" s="146">
        <f t="shared" ref="N77" si="202">N78+N81+N84+N87</f>
        <v>0</v>
      </c>
      <c r="O77" s="146">
        <f>O78+O81+O84+O87</f>
        <v>0</v>
      </c>
      <c r="P77" s="146">
        <f t="shared" ref="P77" si="203">P78+P81+P84+P87</f>
        <v>0</v>
      </c>
      <c r="Q77" s="146">
        <f>Q78+Q81+Q84+Q87</f>
        <v>0</v>
      </c>
      <c r="R77" s="146">
        <f t="shared" ref="R77" si="204">R78+R81+R84+R87</f>
        <v>0</v>
      </c>
      <c r="S77" s="146">
        <f>S78+S81+S84+S87</f>
        <v>0</v>
      </c>
      <c r="T77" s="146">
        <f t="shared" ref="T77" si="205">T78+T81+T84+T87</f>
        <v>0</v>
      </c>
      <c r="U77" s="146">
        <f>U78+U81+U84+U87</f>
        <v>0</v>
      </c>
      <c r="V77" s="146">
        <f t="shared" ref="V77" si="206">V78+V81+V84+V87</f>
        <v>0</v>
      </c>
      <c r="W77" s="146">
        <f>W78+W81+W84+W87</f>
        <v>0</v>
      </c>
      <c r="X77" s="146">
        <f t="shared" ref="X77" si="207">X78+X81+X84+X87</f>
        <v>0</v>
      </c>
      <c r="Y77" s="146">
        <f>Y78+Y81+Y84+Y87</f>
        <v>0</v>
      </c>
      <c r="Z77" s="146">
        <f t="shared" ref="Z77:AA77" si="208">Z78+Z81+Z84+Z87</f>
        <v>0</v>
      </c>
      <c r="AA77" s="146">
        <f t="shared" si="208"/>
        <v>0</v>
      </c>
      <c r="AB77" s="147" t="s">
        <v>51</v>
      </c>
      <c r="AC77" s="146">
        <f t="shared" ref="AC77:BH77" si="209">AC78+AC81+AC84+AC87</f>
        <v>0</v>
      </c>
      <c r="AD77" s="146">
        <f t="shared" si="209"/>
        <v>0</v>
      </c>
      <c r="AE77" s="146">
        <f t="shared" si="209"/>
        <v>0</v>
      </c>
      <c r="AF77" s="147" t="s">
        <v>51</v>
      </c>
      <c r="AG77" s="146">
        <f t="shared" ref="AG77" si="210">AG78+AG81+AG84+AG87</f>
        <v>0</v>
      </c>
      <c r="AH77" s="146">
        <f t="shared" si="209"/>
        <v>0</v>
      </c>
      <c r="AI77" s="147" t="s">
        <v>51</v>
      </c>
      <c r="AJ77" s="146">
        <f t="shared" si="209"/>
        <v>0</v>
      </c>
      <c r="AK77" s="146">
        <f t="shared" si="209"/>
        <v>0</v>
      </c>
      <c r="AL77" s="147" t="s">
        <v>51</v>
      </c>
      <c r="AM77" s="146">
        <f t="shared" si="209"/>
        <v>0</v>
      </c>
      <c r="AN77" s="146">
        <f t="shared" si="209"/>
        <v>0</v>
      </c>
      <c r="AO77" s="147" t="s">
        <v>51</v>
      </c>
      <c r="AP77" s="146">
        <f t="shared" si="209"/>
        <v>0</v>
      </c>
      <c r="AQ77" s="146">
        <f t="shared" si="209"/>
        <v>0</v>
      </c>
      <c r="AR77" s="147" t="s">
        <v>51</v>
      </c>
      <c r="AS77" s="146">
        <f t="shared" si="209"/>
        <v>0</v>
      </c>
      <c r="AT77" s="146">
        <f t="shared" si="209"/>
        <v>0</v>
      </c>
      <c r="AU77" s="147" t="s">
        <v>51</v>
      </c>
      <c r="AV77" s="146">
        <f t="shared" si="209"/>
        <v>0</v>
      </c>
      <c r="AW77" s="146">
        <f t="shared" si="209"/>
        <v>0</v>
      </c>
      <c r="AX77" s="147" t="s">
        <v>51</v>
      </c>
      <c r="AY77" s="146">
        <f t="shared" si="209"/>
        <v>0</v>
      </c>
      <c r="AZ77" s="146">
        <f t="shared" si="209"/>
        <v>0</v>
      </c>
      <c r="BA77" s="147" t="s">
        <v>51</v>
      </c>
      <c r="BB77" s="146">
        <f t="shared" si="209"/>
        <v>0</v>
      </c>
      <c r="BC77" s="146">
        <f t="shared" si="209"/>
        <v>0</v>
      </c>
      <c r="BD77" s="147" t="s">
        <v>51</v>
      </c>
      <c r="BE77" s="146">
        <f t="shared" si="209"/>
        <v>0</v>
      </c>
      <c r="BF77" s="146">
        <f t="shared" si="209"/>
        <v>0</v>
      </c>
      <c r="BG77" s="147" t="s">
        <v>51</v>
      </c>
      <c r="BH77" s="146">
        <f t="shared" si="209"/>
        <v>0</v>
      </c>
      <c r="BI77" s="146">
        <f t="shared" ref="BI77:BJ77" si="211">BI78+BI81+BI84+BI87</f>
        <v>0</v>
      </c>
      <c r="BJ77" s="146">
        <f t="shared" si="211"/>
        <v>0</v>
      </c>
      <c r="BK77" s="147" t="s">
        <v>51</v>
      </c>
      <c r="BL77" s="147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238" t="s">
        <v>54</v>
      </c>
      <c r="B78" s="239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236" t="s">
        <v>144</v>
      </c>
      <c r="B79" s="237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236" t="s">
        <v>145</v>
      </c>
      <c r="B80" s="237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238" t="s">
        <v>57</v>
      </c>
      <c r="B81" s="239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236" t="s">
        <v>144</v>
      </c>
      <c r="B82" s="237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236" t="s">
        <v>146</v>
      </c>
      <c r="B83" s="237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238" t="s">
        <v>58</v>
      </c>
      <c r="B84" s="239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236" t="s">
        <v>147</v>
      </c>
      <c r="B85" s="237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236" t="s">
        <v>148</v>
      </c>
      <c r="B86" s="237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238" t="s">
        <v>61</v>
      </c>
      <c r="B87" s="239"/>
      <c r="C87" s="96">
        <f t="shared" ref="C87:R87" si="236">(C86+C83+C80+C37)-(C9+C79+C82+C85)</f>
        <v>0</v>
      </c>
      <c r="D87" s="148">
        <f t="shared" si="236"/>
        <v>0</v>
      </c>
      <c r="E87" s="96">
        <f t="shared" si="236"/>
        <v>0</v>
      </c>
      <c r="F87" s="96">
        <f t="shared" si="236"/>
        <v>0</v>
      </c>
      <c r="G87" s="148">
        <f t="shared" si="236"/>
        <v>0</v>
      </c>
      <c r="H87" s="96">
        <f t="shared" si="236"/>
        <v>0</v>
      </c>
      <c r="I87" s="148">
        <f t="shared" si="236"/>
        <v>0</v>
      </c>
      <c r="J87" s="96">
        <f t="shared" si="236"/>
        <v>0</v>
      </c>
      <c r="K87" s="148">
        <f t="shared" si="236"/>
        <v>0</v>
      </c>
      <c r="L87" s="96">
        <f t="shared" si="236"/>
        <v>0</v>
      </c>
      <c r="M87" s="148">
        <f t="shared" si="236"/>
        <v>0</v>
      </c>
      <c r="N87" s="96">
        <f t="shared" si="236"/>
        <v>0</v>
      </c>
      <c r="O87" s="148">
        <f t="shared" si="236"/>
        <v>0</v>
      </c>
      <c r="P87" s="96">
        <f t="shared" si="236"/>
        <v>0</v>
      </c>
      <c r="Q87" s="148">
        <f t="shared" si="236"/>
        <v>0</v>
      </c>
      <c r="R87" s="96">
        <f t="shared" si="236"/>
        <v>0</v>
      </c>
      <c r="S87" s="148">
        <f t="shared" ref="S87:AA87" si="237">(S86+S83+S80+S37)-(S9+S79+S82+S85)</f>
        <v>0</v>
      </c>
      <c r="T87" s="96">
        <f t="shared" si="237"/>
        <v>0</v>
      </c>
      <c r="U87" s="148">
        <f t="shared" si="237"/>
        <v>0</v>
      </c>
      <c r="V87" s="96">
        <f t="shared" si="237"/>
        <v>0</v>
      </c>
      <c r="W87" s="148">
        <f t="shared" si="237"/>
        <v>0</v>
      </c>
      <c r="X87" s="96">
        <f t="shared" si="237"/>
        <v>0</v>
      </c>
      <c r="Y87" s="148">
        <f t="shared" si="237"/>
        <v>0</v>
      </c>
      <c r="Z87" s="96">
        <f t="shared" si="237"/>
        <v>0</v>
      </c>
      <c r="AA87" s="96">
        <f t="shared" si="237"/>
        <v>0</v>
      </c>
      <c r="AB87" s="133">
        <f t="shared" si="213"/>
        <v>1</v>
      </c>
      <c r="AC87" s="96">
        <f t="shared" ref="AC87:AE87" si="238">(AC86+AC83+AC80+AC37)-(AC9+AC79+AC82+AC85)</f>
        <v>0</v>
      </c>
      <c r="AD87" s="96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240" t="s">
        <v>167</v>
      </c>
      <c r="B88" s="241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242" t="s">
        <v>63</v>
      </c>
      <c r="B89" s="243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217" t="s">
        <v>136</v>
      </c>
      <c r="B90" s="218"/>
      <c r="C90" s="153"/>
      <c r="D90" s="153"/>
      <c r="E90" s="153"/>
      <c r="F90" s="153"/>
      <c r="G90" s="154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6"/>
      <c r="AB90" s="156"/>
      <c r="AC90" s="156"/>
      <c r="AD90" s="156"/>
      <c r="AE90" s="154"/>
      <c r="AF90" s="156"/>
      <c r="AG90" s="156"/>
      <c r="AH90" s="153"/>
      <c r="AI90" s="156"/>
      <c r="AJ90" s="153"/>
      <c r="AK90" s="153"/>
      <c r="AL90" s="156"/>
      <c r="AM90" s="153"/>
      <c r="AN90" s="153"/>
      <c r="AO90" s="156"/>
      <c r="AP90" s="153"/>
      <c r="AQ90" s="153"/>
      <c r="AR90" s="156"/>
      <c r="AS90" s="153"/>
      <c r="AT90" s="153"/>
      <c r="AU90" s="156"/>
      <c r="AV90" s="153"/>
      <c r="AW90" s="153"/>
      <c r="AX90" s="156"/>
      <c r="AY90" s="153"/>
      <c r="AZ90" s="153"/>
      <c r="BA90" s="156"/>
      <c r="BB90" s="153"/>
      <c r="BC90" s="153"/>
      <c r="BD90" s="156"/>
      <c r="BE90" s="153"/>
      <c r="BF90" s="153"/>
      <c r="BG90" s="156"/>
      <c r="BH90" s="153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234" t="s">
        <v>64</v>
      </c>
      <c r="B91" s="235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228" t="s">
        <v>38</v>
      </c>
      <c r="B92" s="229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236" t="s">
        <v>143</v>
      </c>
      <c r="B93" s="237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228" t="s">
        <v>65</v>
      </c>
      <c r="B94" s="229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230" t="s">
        <v>67</v>
      </c>
      <c r="B95" s="231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230" t="s">
        <v>34</v>
      </c>
      <c r="B96" s="231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230" t="s">
        <v>34</v>
      </c>
      <c r="B97" s="231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230" t="s">
        <v>34</v>
      </c>
      <c r="B98" s="231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230" t="s">
        <v>34</v>
      </c>
      <c r="B99" s="231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230" t="s">
        <v>34</v>
      </c>
      <c r="B100" s="231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234" t="s">
        <v>68</v>
      </c>
      <c r="B101" s="235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228">
        <v>243</v>
      </c>
      <c r="B102" s="229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228">
        <v>244</v>
      </c>
      <c r="B103" s="229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228">
        <v>414</v>
      </c>
      <c r="B104" s="229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228">
        <v>521</v>
      </c>
      <c r="B105" s="229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228">
        <v>831</v>
      </c>
      <c r="B106" s="229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228">
        <v>851</v>
      </c>
      <c r="B107" s="229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228">
        <v>853</v>
      </c>
      <c r="B108" s="229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228"/>
      <c r="B109" s="229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228"/>
      <c r="B110" s="229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228"/>
      <c r="B111" s="229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228"/>
      <c r="B112" s="229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32"/>
      <c r="B113" s="233"/>
      <c r="C113" s="158" t="str">
        <f>BJ113</f>
        <v>на 1 января  очередного финансового года</v>
      </c>
      <c r="D113" s="158" t="str">
        <f>C113</f>
        <v>на 1 января  очередного финансового года</v>
      </c>
      <c r="E113" s="157" t="s">
        <v>69</v>
      </c>
      <c r="F113" s="157" t="s">
        <v>70</v>
      </c>
      <c r="G113" s="175" t="s">
        <v>151</v>
      </c>
      <c r="H113" s="157" t="s">
        <v>14</v>
      </c>
      <c r="I113" s="175" t="s">
        <v>151</v>
      </c>
      <c r="J113" s="157" t="s">
        <v>137</v>
      </c>
      <c r="K113" s="175" t="s">
        <v>151</v>
      </c>
      <c r="L113" s="157" t="s">
        <v>138</v>
      </c>
      <c r="M113" s="175" t="s">
        <v>151</v>
      </c>
      <c r="N113" s="157" t="s">
        <v>83</v>
      </c>
      <c r="O113" s="175" t="s">
        <v>151</v>
      </c>
      <c r="P113" s="157" t="s">
        <v>84</v>
      </c>
      <c r="Q113" s="175" t="s">
        <v>151</v>
      </c>
      <c r="R113" s="157" t="s">
        <v>85</v>
      </c>
      <c r="S113" s="177" t="s">
        <v>151</v>
      </c>
      <c r="T113" s="157" t="s">
        <v>86</v>
      </c>
      <c r="U113" s="175" t="s">
        <v>151</v>
      </c>
      <c r="V113" s="157" t="s">
        <v>87</v>
      </c>
      <c r="W113" s="175" t="s">
        <v>151</v>
      </c>
      <c r="X113" s="157" t="s">
        <v>88</v>
      </c>
      <c r="Y113" s="175" t="s">
        <v>151</v>
      </c>
      <c r="Z113" s="158" t="str">
        <f>D113</f>
        <v>на 1 января  очередного финансового года</v>
      </c>
      <c r="AA113" s="158" t="s">
        <v>71</v>
      </c>
      <c r="AB113" s="175" t="str">
        <f>AB6</f>
        <v>Темп роста (снижения) к исполнено за отчетный год, %</v>
      </c>
      <c r="AC113" s="157" t="s">
        <v>69</v>
      </c>
      <c r="AD113" s="157" t="s">
        <v>70</v>
      </c>
      <c r="AE113" s="175" t="s">
        <v>152</v>
      </c>
      <c r="AF113" s="175" t="str">
        <f>AF7</f>
        <v>Темп роста (снижения) к исполнено за отчетный год, %</v>
      </c>
      <c r="AG113" s="157" t="s">
        <v>14</v>
      </c>
      <c r="AH113" s="175" t="s">
        <v>152</v>
      </c>
      <c r="AI113" s="175" t="str">
        <f>AI7</f>
        <v>Темп роста (снижения) к исполнено за отчетный год, %</v>
      </c>
      <c r="AJ113" s="178" t="s">
        <v>81</v>
      </c>
      <c r="AK113" s="175" t="s">
        <v>152</v>
      </c>
      <c r="AL113" s="175" t="str">
        <f>AL7</f>
        <v>Темп роста (снижения) к исполнено за отчетный год, %</v>
      </c>
      <c r="AM113" s="157" t="s">
        <v>82</v>
      </c>
      <c r="AN113" s="175" t="s">
        <v>152</v>
      </c>
      <c r="AO113" s="175" t="str">
        <f>AO7</f>
        <v>Темп роста (снижения) к исполнено за отчетный год, %</v>
      </c>
      <c r="AP113" s="157" t="s">
        <v>83</v>
      </c>
      <c r="AQ113" s="175" t="s">
        <v>152</v>
      </c>
      <c r="AR113" s="175" t="str">
        <f>AR7</f>
        <v>Темп роста (снижения) к исполнено за отчетный год, %</v>
      </c>
      <c r="AS113" s="157" t="s">
        <v>84</v>
      </c>
      <c r="AT113" s="175" t="s">
        <v>152</v>
      </c>
      <c r="AU113" s="175" t="str">
        <f>AU7</f>
        <v>Темп роста (снижения) к исполнено за отчетный год, %</v>
      </c>
      <c r="AV113" s="157" t="s">
        <v>85</v>
      </c>
      <c r="AW113" s="175" t="s">
        <v>152</v>
      </c>
      <c r="AX113" s="175" t="str">
        <f>AX7</f>
        <v>Темп роста (снижения) к исполнено за отчетный год, %</v>
      </c>
      <c r="AY113" s="157" t="s">
        <v>86</v>
      </c>
      <c r="AZ113" s="175" t="s">
        <v>152</v>
      </c>
      <c r="BA113" s="177" t="str">
        <f>BA7</f>
        <v>Темп роста (снижения) к исполнено за отчетный год, %</v>
      </c>
      <c r="BB113" s="157" t="s">
        <v>87</v>
      </c>
      <c r="BC113" s="175" t="s">
        <v>152</v>
      </c>
      <c r="BD113" s="175" t="str">
        <f>BD7</f>
        <v>Темп роста (снижения) к исполнено за отчетный год, %</v>
      </c>
      <c r="BE113" s="157" t="s">
        <v>88</v>
      </c>
      <c r="BF113" s="175" t="s">
        <v>152</v>
      </c>
      <c r="BG113" s="175" t="str">
        <f>BG7</f>
        <v>Темп роста (снижения) к исполнено за отчетный год, %</v>
      </c>
      <c r="BH113" s="175" t="str">
        <f>AA113</f>
        <v>на 1 января  очередного финансового года</v>
      </c>
      <c r="BI113" s="175" t="str">
        <f>BI7</f>
        <v>Ожидаемая оценка на __________</v>
      </c>
      <c r="BJ113" s="175" t="s">
        <v>71</v>
      </c>
      <c r="BK113" s="175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224" t="s">
        <v>153</v>
      </c>
      <c r="B114" s="225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30" t="s">
        <v>154</v>
      </c>
      <c r="B115" s="231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 t="shared" ref="G115:G117" si="290">E115+F115</f>
        <v>0</v>
      </c>
      <c r="H115" s="29"/>
      <c r="I115" s="137">
        <f t="shared" ref="I115:I117" si="291">G115+H115</f>
        <v>0</v>
      </c>
      <c r="J115" s="29"/>
      <c r="K115" s="137">
        <f t="shared" ref="K115:K117" si="292">J115-$C115</f>
        <v>0</v>
      </c>
      <c r="L115" s="29">
        <f t="shared" ref="L115:L117" si="293">K115+L79+L82</f>
        <v>0</v>
      </c>
      <c r="M115" s="137">
        <f t="shared" ref="M115:M117" si="294">K115+L115</f>
        <v>0</v>
      </c>
      <c r="N115" s="29"/>
      <c r="O115" s="137">
        <f>M115-$C115</f>
        <v>0</v>
      </c>
      <c r="P115" s="29">
        <f t="shared" ref="P115:P117" si="295">O115+P79+P82</f>
        <v>0</v>
      </c>
      <c r="Q115" s="137">
        <f t="shared" ref="Q115:Q117" si="296">O115+P115</f>
        <v>0</v>
      </c>
      <c r="R115" s="29"/>
      <c r="S115" s="137">
        <f>Q115-$C115</f>
        <v>0</v>
      </c>
      <c r="T115" s="29">
        <f t="shared" ref="T115:T117" si="297">S115+T79+T82</f>
        <v>0</v>
      </c>
      <c r="U115" s="137">
        <f t="shared" ref="U115:U117" si="298">S115+T115</f>
        <v>0</v>
      </c>
      <c r="V115" s="29"/>
      <c r="W115" s="137">
        <f>U115-$C115</f>
        <v>0</v>
      </c>
      <c r="X115" s="29">
        <f t="shared" ref="X115:X117" si="299">W115+X79+X82</f>
        <v>0</v>
      </c>
      <c r="Y115" s="137">
        <f t="shared" ref="Y115:Y117" si="300">W115+X115</f>
        <v>0</v>
      </c>
      <c r="Z115" s="29"/>
      <c r="AA115" s="137">
        <f>Y115-$C115</f>
        <v>0</v>
      </c>
      <c r="AB115" s="135">
        <f t="shared" ref="AB115:AB117" si="301">IF(D115=0,1,AA115/D115-1)</f>
        <v>1</v>
      </c>
      <c r="AC115" s="29"/>
      <c r="AD115" s="29"/>
      <c r="AE115" s="29">
        <f>AD115-$D115</f>
        <v>0</v>
      </c>
      <c r="AF115" s="135">
        <f t="shared" ref="AF115:AF117" si="302">IF(B115=0,1,AE115/B115-1)</f>
        <v>1</v>
      </c>
      <c r="AG115" s="29"/>
      <c r="AH115" s="29">
        <f>AG115-$D115</f>
        <v>0</v>
      </c>
      <c r="AI115" s="135">
        <f t="shared" ref="AI115:AI117" si="303">IF(E115=0,1,AH115/E115-1)</f>
        <v>1</v>
      </c>
      <c r="AJ115" s="29"/>
      <c r="AK115" s="29">
        <f>AJ115-$D115</f>
        <v>0</v>
      </c>
      <c r="AL115" s="135">
        <f t="shared" ref="AL115:AL117" si="304">IF(H115=0,1,AK115/H115-1)</f>
        <v>1</v>
      </c>
      <c r="AM115" s="137"/>
      <c r="AN115" s="29">
        <f>AM115-$D115</f>
        <v>0</v>
      </c>
      <c r="AO115" s="135">
        <f t="shared" ref="AO115:AO117" si="305">IF(K115=0,1,AN115/K115-1)</f>
        <v>1</v>
      </c>
      <c r="AP115" s="29"/>
      <c r="AQ115" s="29">
        <f>AP115-$D115</f>
        <v>0</v>
      </c>
      <c r="AR115" s="135">
        <f t="shared" ref="AR115:AR117" si="306">IF(N115=0,1,AQ115/N115-1)</f>
        <v>1</v>
      </c>
      <c r="AS115" s="29"/>
      <c r="AT115" s="29">
        <f>AS115-$D115</f>
        <v>0</v>
      </c>
      <c r="AU115" s="135">
        <f t="shared" ref="AU115:AU117" si="307">IF(Q115=0,1,AT115/Q115-1)</f>
        <v>1</v>
      </c>
      <c r="AV115" s="29">
        <f t="shared" ref="AV115:AV117" si="308">AU115+AV79+AV82</f>
        <v>1</v>
      </c>
      <c r="AW115" s="29">
        <f>AV115-$D115</f>
        <v>1</v>
      </c>
      <c r="AX115" s="135">
        <f t="shared" ref="AX115:AX117" si="309">IF(T115=0,1,AW115/T115-1)</f>
        <v>1</v>
      </c>
      <c r="AY115" s="29"/>
      <c r="AZ115" s="29">
        <f>AY115-$D115</f>
        <v>0</v>
      </c>
      <c r="BA115" s="135">
        <f t="shared" ref="BA115:BA117" si="310">IF(W115=0,1,AZ115/W115-1)</f>
        <v>1</v>
      </c>
      <c r="BB115" s="29"/>
      <c r="BC115" s="29">
        <f>BB115-$D115</f>
        <v>0</v>
      </c>
      <c r="BD115" s="135">
        <f t="shared" ref="BD115:BD117" si="311">IF(Z115=0,1,BC115/Z115-1)</f>
        <v>1</v>
      </c>
      <c r="BE115" s="29"/>
      <c r="BF115" s="29">
        <f>BE115-$D115</f>
        <v>0</v>
      </c>
      <c r="BG115" s="135">
        <f t="shared" ref="BG115:BG117" si="312">IF(AC115=0,1,BF115/AC115-1)</f>
        <v>1</v>
      </c>
      <c r="BH115" s="137">
        <f t="shared" ref="BH115:BH117" si="313">BF115+BH79+BH82</f>
        <v>0</v>
      </c>
      <c r="BI115" s="29"/>
      <c r="BJ115" s="29">
        <f t="shared" ref="BJ115:BJ117" si="314">D115+BJ79+BJ82</f>
        <v>0</v>
      </c>
      <c r="BK115" s="135">
        <f t="shared" ref="BK115:BK117" si="315">IF($AA$80=0,1,BJ115/$AA$80-1)</f>
        <v>1</v>
      </c>
      <c r="BL115" s="135">
        <f t="shared" ref="BL115:BL117" si="316">IF($D115=0,1,BJ115/$D115-1)</f>
        <v>1</v>
      </c>
      <c r="BM115" s="29">
        <f>BK115-$E115</f>
        <v>1</v>
      </c>
      <c r="BN115" s="137">
        <f t="shared" ref="BN115:BN117" si="317">BL115+BN79+BN82</f>
        <v>1</v>
      </c>
      <c r="BO115" s="29"/>
      <c r="BP115" s="29">
        <f t="shared" ref="BP115:BP117" si="318">J115+BP79+BP82</f>
        <v>0</v>
      </c>
      <c r="BQ115" s="63"/>
      <c r="BR115" s="63"/>
      <c r="BS115" s="29">
        <f>BQ115-$E115</f>
        <v>0</v>
      </c>
      <c r="BT115" s="137">
        <f t="shared" ref="BT115:BT117" si="319">BR115+BT79+BT82</f>
        <v>0</v>
      </c>
      <c r="BU115" s="29"/>
      <c r="BV115" s="29">
        <f t="shared" ref="BV115:BV117" si="320">P115+BV79+BV82</f>
        <v>0</v>
      </c>
      <c r="BW115" s="63"/>
      <c r="BX115" s="63"/>
      <c r="BY115" s="29">
        <f>BW115-$E115</f>
        <v>0</v>
      </c>
      <c r="BZ115" s="137">
        <f t="shared" ref="BZ115:BZ117" si="321">BX115+BZ79+BZ82</f>
        <v>0</v>
      </c>
      <c r="CA115" s="29"/>
      <c r="CB115" s="29">
        <f t="shared" ref="CB115:CB117" si="322">V115+CB79+CB82</f>
        <v>0</v>
      </c>
      <c r="CC115" s="63"/>
      <c r="CD115" s="63"/>
      <c r="CE115" s="29">
        <f>CC115-$E115</f>
        <v>0</v>
      </c>
      <c r="CF115" s="137">
        <f t="shared" ref="CF115:CF117" si="323">CD115+CF79+CF82</f>
        <v>0</v>
      </c>
      <c r="CG115" s="29"/>
      <c r="CH115" s="29">
        <f t="shared" ref="CH115:CH117" si="324">AB115+CH79+CH82</f>
        <v>1</v>
      </c>
      <c r="CI115" s="63"/>
      <c r="CJ115" s="63"/>
      <c r="CK115" s="29">
        <f>CI115-$E115</f>
        <v>0</v>
      </c>
      <c r="CL115" s="137">
        <f t="shared" ref="CL115:CL117" si="325">CJ115+CL79+CL82</f>
        <v>0</v>
      </c>
      <c r="CM115" s="29"/>
      <c r="CN115" s="29">
        <f t="shared" ref="CN115:CN117" si="326">AH115+CN79+CN82</f>
        <v>0</v>
      </c>
      <c r="CO115" s="63"/>
      <c r="CP115" s="63"/>
      <c r="CQ115" s="29">
        <f>CO115-$E115</f>
        <v>0</v>
      </c>
      <c r="CR115" s="137">
        <f t="shared" ref="CR115:CR117" si="327">CP115+CR79+CR82</f>
        <v>0</v>
      </c>
      <c r="CS115" s="29"/>
      <c r="CT115" s="29">
        <f t="shared" ref="CT115:CT117" si="328">AN115+CT79+CT82</f>
        <v>0</v>
      </c>
      <c r="CU115" s="63"/>
      <c r="CV115" s="63"/>
      <c r="CW115" s="29">
        <f>CU115-$E115</f>
        <v>0</v>
      </c>
      <c r="CX115" s="137">
        <f t="shared" ref="CX115:CX117" si="329">CV115+CX79+CX82</f>
        <v>0</v>
      </c>
      <c r="CY115" s="29"/>
      <c r="CZ115" s="29">
        <f t="shared" ref="CZ115:CZ117" si="330">AT115+CZ79+CZ82</f>
        <v>0</v>
      </c>
      <c r="DA115" s="63"/>
      <c r="DB115" s="63"/>
      <c r="DC115" s="29">
        <f>DA115-$E115</f>
        <v>0</v>
      </c>
      <c r="DD115" s="137">
        <f t="shared" ref="DD115:DD117" si="331">DB115+DD79+DD82</f>
        <v>0</v>
      </c>
      <c r="DE115" s="29"/>
      <c r="DF115" s="29">
        <f t="shared" ref="DF115:DF117" si="332">AZ115+DF79+DF82</f>
        <v>0</v>
      </c>
      <c r="DG115" s="63"/>
      <c r="DH115" s="63"/>
      <c r="DI115" s="29">
        <f>DG115-$E115</f>
        <v>0</v>
      </c>
      <c r="DJ115" s="137">
        <f t="shared" ref="DJ115:DJ117" si="333">DH115+DJ79+DJ82</f>
        <v>0</v>
      </c>
      <c r="DK115" s="29"/>
      <c r="DL115" s="29">
        <f t="shared" ref="DL115:DL117" si="334">BF115+DL79+DL82</f>
        <v>0</v>
      </c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30" t="s">
        <v>155</v>
      </c>
      <c r="B116" s="231"/>
      <c r="C116" s="29"/>
      <c r="D116" s="134">
        <f t="shared" si="289"/>
        <v>0</v>
      </c>
      <c r="E116" s="29"/>
      <c r="F116" s="29"/>
      <c r="G116" s="137">
        <f t="shared" si="290"/>
        <v>0</v>
      </c>
      <c r="H116" s="29"/>
      <c r="I116" s="137">
        <f t="shared" si="291"/>
        <v>0</v>
      </c>
      <c r="J116" s="29"/>
      <c r="K116" s="137">
        <f>I116-$C116</f>
        <v>0</v>
      </c>
      <c r="L116" s="29">
        <f t="shared" si="293"/>
        <v>0</v>
      </c>
      <c r="M116" s="137">
        <f t="shared" si="294"/>
        <v>0</v>
      </c>
      <c r="N116" s="29"/>
      <c r="O116" s="137">
        <f>M116-$C116</f>
        <v>0</v>
      </c>
      <c r="P116" s="29">
        <f t="shared" si="295"/>
        <v>0</v>
      </c>
      <c r="Q116" s="137">
        <f t="shared" si="296"/>
        <v>0</v>
      </c>
      <c r="R116" s="29"/>
      <c r="S116" s="137">
        <f>Q116-$C116</f>
        <v>0</v>
      </c>
      <c r="T116" s="29">
        <f t="shared" si="297"/>
        <v>0</v>
      </c>
      <c r="U116" s="137">
        <f t="shared" si="298"/>
        <v>0</v>
      </c>
      <c r="V116" s="29"/>
      <c r="W116" s="137">
        <f>U116-$C116</f>
        <v>0</v>
      </c>
      <c r="X116" s="29">
        <f t="shared" si="299"/>
        <v>0</v>
      </c>
      <c r="Y116" s="137">
        <f t="shared" si="300"/>
        <v>0</v>
      </c>
      <c r="Z116" s="29"/>
      <c r="AA116" s="137">
        <f>Y116-$C116</f>
        <v>0</v>
      </c>
      <c r="AB116" s="135">
        <f t="shared" si="301"/>
        <v>1</v>
      </c>
      <c r="AC116" s="29"/>
      <c r="AD116" s="29"/>
      <c r="AE116" s="29">
        <f t="shared" ref="AE116:AE117" si="335">AD116-$D116</f>
        <v>0</v>
      </c>
      <c r="AF116" s="135">
        <f t="shared" si="302"/>
        <v>1</v>
      </c>
      <c r="AG116" s="29"/>
      <c r="AH116" s="29">
        <f t="shared" ref="AH116:AH117" si="336">AG116-$D116</f>
        <v>0</v>
      </c>
      <c r="AI116" s="135">
        <f t="shared" si="303"/>
        <v>1</v>
      </c>
      <c r="AJ116" s="29"/>
      <c r="AK116" s="29">
        <f t="shared" ref="AK116:AK117" si="337">AJ116-$D116</f>
        <v>0</v>
      </c>
      <c r="AL116" s="135">
        <f t="shared" si="304"/>
        <v>1</v>
      </c>
      <c r="AM116" s="137"/>
      <c r="AN116" s="29">
        <f t="shared" ref="AN116:AN117" si="338">AM116-$D116</f>
        <v>0</v>
      </c>
      <c r="AO116" s="135">
        <f t="shared" si="305"/>
        <v>1</v>
      </c>
      <c r="AP116" s="29"/>
      <c r="AQ116" s="29">
        <f t="shared" ref="AQ116:AQ117" si="339">AP116-$D116</f>
        <v>0</v>
      </c>
      <c r="AR116" s="135">
        <f t="shared" si="306"/>
        <v>1</v>
      </c>
      <c r="AS116" s="29"/>
      <c r="AT116" s="29">
        <f t="shared" ref="AT116:AT117" si="340">AS116-$D116</f>
        <v>0</v>
      </c>
      <c r="AU116" s="135">
        <f t="shared" si="307"/>
        <v>1</v>
      </c>
      <c r="AV116" s="29">
        <f t="shared" si="308"/>
        <v>1</v>
      </c>
      <c r="AW116" s="29">
        <f t="shared" ref="AW116:AW117" si="341">AV116-$D116</f>
        <v>1</v>
      </c>
      <c r="AX116" s="135">
        <f t="shared" si="309"/>
        <v>1</v>
      </c>
      <c r="AY116" s="29"/>
      <c r="AZ116" s="29">
        <f t="shared" ref="AZ116:AZ117" si="342">AY116-$D116</f>
        <v>0</v>
      </c>
      <c r="BA116" s="135">
        <f t="shared" si="310"/>
        <v>1</v>
      </c>
      <c r="BB116" s="29"/>
      <c r="BC116" s="29">
        <f t="shared" ref="BC116:BC117" si="343">BB116-$D116</f>
        <v>0</v>
      </c>
      <c r="BD116" s="135">
        <f t="shared" si="311"/>
        <v>1</v>
      </c>
      <c r="BE116" s="29"/>
      <c r="BF116" s="29">
        <f t="shared" ref="BF116:BF117" si="344">BE116-$D116</f>
        <v>0</v>
      </c>
      <c r="BG116" s="135">
        <f t="shared" si="312"/>
        <v>1</v>
      </c>
      <c r="BH116" s="137">
        <f t="shared" si="313"/>
        <v>0</v>
      </c>
      <c r="BI116" s="29"/>
      <c r="BJ116" s="29">
        <f t="shared" si="314"/>
        <v>0</v>
      </c>
      <c r="BK116" s="135">
        <f t="shared" si="315"/>
        <v>1</v>
      </c>
      <c r="BL116" s="135">
        <f t="shared" si="316"/>
        <v>1</v>
      </c>
      <c r="BM116" s="29">
        <f t="shared" ref="BM116:BM117" si="345">IF(AE116=0,1,BL116/AE116-1)</f>
        <v>1</v>
      </c>
      <c r="BN116" s="137">
        <f t="shared" si="317"/>
        <v>1</v>
      </c>
      <c r="BO116" s="29"/>
      <c r="BP116" s="29">
        <f t="shared" si="318"/>
        <v>0</v>
      </c>
      <c r="BQ116" s="63"/>
      <c r="BR116" s="63"/>
      <c r="BS116" s="29">
        <f t="shared" ref="BS116:BS117" si="346">IF(AK116=0,1,BR116/AK116-1)</f>
        <v>1</v>
      </c>
      <c r="BT116" s="137">
        <f t="shared" si="319"/>
        <v>0</v>
      </c>
      <c r="BU116" s="29"/>
      <c r="BV116" s="29">
        <f t="shared" si="320"/>
        <v>0</v>
      </c>
      <c r="BW116" s="63"/>
      <c r="BX116" s="63"/>
      <c r="BY116" s="29">
        <f t="shared" ref="BY116:BY117" si="347">IF(AQ116=0,1,BX116/AQ116-1)</f>
        <v>1</v>
      </c>
      <c r="BZ116" s="137">
        <f t="shared" si="321"/>
        <v>0</v>
      </c>
      <c r="CA116" s="29"/>
      <c r="CB116" s="29">
        <f t="shared" si="322"/>
        <v>0</v>
      </c>
      <c r="CC116" s="63"/>
      <c r="CD116" s="63"/>
      <c r="CE116" s="29">
        <f t="shared" ref="CE116:CE117" si="348">IF(AW116=0,1,CD116/AW116-1)</f>
        <v>-1</v>
      </c>
      <c r="CF116" s="137">
        <f t="shared" si="323"/>
        <v>0</v>
      </c>
      <c r="CG116" s="29"/>
      <c r="CH116" s="29">
        <f t="shared" si="324"/>
        <v>1</v>
      </c>
      <c r="CI116" s="63"/>
      <c r="CJ116" s="63"/>
      <c r="CK116" s="29">
        <f t="shared" ref="CK116:CK117" si="349">IF(BC116=0,1,CJ116/BC116-1)</f>
        <v>1</v>
      </c>
      <c r="CL116" s="137">
        <f t="shared" si="325"/>
        <v>0</v>
      </c>
      <c r="CM116" s="29"/>
      <c r="CN116" s="29">
        <f t="shared" si="326"/>
        <v>0</v>
      </c>
      <c r="CO116" s="63"/>
      <c r="CP116" s="63"/>
      <c r="CQ116" s="29">
        <f t="shared" ref="CQ116:CQ117" si="350">IF(BI116=0,1,CP116/BI116-1)</f>
        <v>1</v>
      </c>
      <c r="CR116" s="137">
        <f t="shared" si="327"/>
        <v>0</v>
      </c>
      <c r="CS116" s="29"/>
      <c r="CT116" s="29">
        <f t="shared" si="328"/>
        <v>0</v>
      </c>
      <c r="CU116" s="63"/>
      <c r="CV116" s="63"/>
      <c r="CW116" s="29">
        <f t="shared" ref="CW116:CW117" si="351">IF(BO116=0,1,CV116/BO116-1)</f>
        <v>1</v>
      </c>
      <c r="CX116" s="137">
        <f t="shared" si="329"/>
        <v>0</v>
      </c>
      <c r="CY116" s="29"/>
      <c r="CZ116" s="29">
        <f t="shared" si="330"/>
        <v>0</v>
      </c>
      <c r="DA116" s="63"/>
      <c r="DB116" s="63"/>
      <c r="DC116" s="29">
        <f t="shared" ref="DC116:DC117" si="352">IF(BU116=0,1,DB116/BU116-1)</f>
        <v>1</v>
      </c>
      <c r="DD116" s="137">
        <f t="shared" si="331"/>
        <v>0</v>
      </c>
      <c r="DE116" s="29"/>
      <c r="DF116" s="29">
        <f t="shared" si="332"/>
        <v>0</v>
      </c>
      <c r="DG116" s="63"/>
      <c r="DH116" s="63"/>
      <c r="DI116" s="29">
        <f t="shared" ref="DI116:DI117" si="353">IF(CA116=0,1,DH116/CA116-1)</f>
        <v>1</v>
      </c>
      <c r="DJ116" s="137">
        <f t="shared" si="333"/>
        <v>0</v>
      </c>
      <c r="DK116" s="29"/>
      <c r="DL116" s="29">
        <f t="shared" si="334"/>
        <v>0</v>
      </c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30" t="s">
        <v>156</v>
      </c>
      <c r="B117" s="231"/>
      <c r="C117" s="29"/>
      <c r="D117" s="134">
        <f t="shared" si="289"/>
        <v>0</v>
      </c>
      <c r="E117" s="29"/>
      <c r="F117" s="29"/>
      <c r="G117" s="137">
        <f t="shared" si="290"/>
        <v>0</v>
      </c>
      <c r="H117" s="29"/>
      <c r="I117" s="137">
        <f t="shared" si="291"/>
        <v>0</v>
      </c>
      <c r="J117" s="29"/>
      <c r="K117" s="137">
        <f t="shared" si="292"/>
        <v>0</v>
      </c>
      <c r="L117" s="29">
        <f t="shared" si="293"/>
        <v>0</v>
      </c>
      <c r="M117" s="137">
        <f t="shared" si="294"/>
        <v>0</v>
      </c>
      <c r="N117" s="29"/>
      <c r="O117" s="137">
        <f t="shared" ref="O117" si="354">N117-$C117</f>
        <v>0</v>
      </c>
      <c r="P117" s="29">
        <f t="shared" si="295"/>
        <v>0</v>
      </c>
      <c r="Q117" s="137">
        <f t="shared" si="296"/>
        <v>0</v>
      </c>
      <c r="R117" s="29"/>
      <c r="S117" s="137">
        <f t="shared" ref="S117" si="355">R117-$C117</f>
        <v>0</v>
      </c>
      <c r="T117" s="29">
        <f t="shared" si="297"/>
        <v>0</v>
      </c>
      <c r="U117" s="137">
        <f t="shared" si="298"/>
        <v>0</v>
      </c>
      <c r="V117" s="29"/>
      <c r="W117" s="137">
        <f t="shared" ref="W117" si="356">V117-$C117</f>
        <v>0</v>
      </c>
      <c r="X117" s="29">
        <f t="shared" si="299"/>
        <v>0</v>
      </c>
      <c r="Y117" s="137">
        <f t="shared" si="300"/>
        <v>0</v>
      </c>
      <c r="Z117" s="29"/>
      <c r="AA117" s="137">
        <f t="shared" ref="AA117" si="357">Z117-$C117</f>
        <v>0</v>
      </c>
      <c r="AB117" s="135">
        <f t="shared" si="301"/>
        <v>1</v>
      </c>
      <c r="AC117" s="29"/>
      <c r="AD117" s="29"/>
      <c r="AE117" s="29">
        <f t="shared" si="335"/>
        <v>0</v>
      </c>
      <c r="AF117" s="135">
        <f t="shared" si="302"/>
        <v>1</v>
      </c>
      <c r="AG117" s="29"/>
      <c r="AH117" s="29">
        <f t="shared" si="336"/>
        <v>0</v>
      </c>
      <c r="AI117" s="135">
        <f t="shared" si="303"/>
        <v>1</v>
      </c>
      <c r="AJ117" s="29"/>
      <c r="AK117" s="29">
        <f t="shared" si="337"/>
        <v>0</v>
      </c>
      <c r="AL117" s="135">
        <f t="shared" si="304"/>
        <v>1</v>
      </c>
      <c r="AM117" s="137"/>
      <c r="AN117" s="29">
        <f t="shared" si="338"/>
        <v>0</v>
      </c>
      <c r="AO117" s="135">
        <f t="shared" si="305"/>
        <v>1</v>
      </c>
      <c r="AP117" s="29"/>
      <c r="AQ117" s="29">
        <f t="shared" si="339"/>
        <v>0</v>
      </c>
      <c r="AR117" s="135">
        <f t="shared" si="306"/>
        <v>1</v>
      </c>
      <c r="AS117" s="29"/>
      <c r="AT117" s="29">
        <f t="shared" si="340"/>
        <v>0</v>
      </c>
      <c r="AU117" s="135">
        <f t="shared" si="307"/>
        <v>1</v>
      </c>
      <c r="AV117" s="29">
        <f t="shared" si="308"/>
        <v>1</v>
      </c>
      <c r="AW117" s="29">
        <f t="shared" si="341"/>
        <v>1</v>
      </c>
      <c r="AX117" s="135">
        <f t="shared" si="309"/>
        <v>1</v>
      </c>
      <c r="AY117" s="29"/>
      <c r="AZ117" s="29">
        <f t="shared" si="342"/>
        <v>0</v>
      </c>
      <c r="BA117" s="135">
        <f t="shared" si="310"/>
        <v>1</v>
      </c>
      <c r="BB117" s="29"/>
      <c r="BC117" s="29">
        <f t="shared" si="343"/>
        <v>0</v>
      </c>
      <c r="BD117" s="135">
        <f t="shared" si="311"/>
        <v>1</v>
      </c>
      <c r="BE117" s="29"/>
      <c r="BF117" s="29">
        <f t="shared" si="344"/>
        <v>0</v>
      </c>
      <c r="BG117" s="135">
        <f t="shared" si="312"/>
        <v>1</v>
      </c>
      <c r="BH117" s="137">
        <f t="shared" si="313"/>
        <v>0</v>
      </c>
      <c r="BI117" s="29"/>
      <c r="BJ117" s="29">
        <f t="shared" si="314"/>
        <v>0</v>
      </c>
      <c r="BK117" s="135">
        <f t="shared" si="315"/>
        <v>1</v>
      </c>
      <c r="BL117" s="135">
        <f t="shared" si="316"/>
        <v>1</v>
      </c>
      <c r="BM117" s="29">
        <f t="shared" si="345"/>
        <v>1</v>
      </c>
      <c r="BN117" s="137">
        <f t="shared" si="317"/>
        <v>1</v>
      </c>
      <c r="BO117" s="29"/>
      <c r="BP117" s="29">
        <f t="shared" si="318"/>
        <v>0</v>
      </c>
      <c r="BQ117" s="63"/>
      <c r="BR117" s="63"/>
      <c r="BS117" s="29">
        <f t="shared" si="346"/>
        <v>1</v>
      </c>
      <c r="BT117" s="137">
        <f t="shared" si="319"/>
        <v>0</v>
      </c>
      <c r="BU117" s="29"/>
      <c r="BV117" s="29">
        <f t="shared" si="320"/>
        <v>0</v>
      </c>
      <c r="BW117" s="63"/>
      <c r="BX117" s="63"/>
      <c r="BY117" s="29">
        <f t="shared" si="347"/>
        <v>1</v>
      </c>
      <c r="BZ117" s="137">
        <f t="shared" si="321"/>
        <v>0</v>
      </c>
      <c r="CA117" s="29"/>
      <c r="CB117" s="29">
        <f t="shared" si="322"/>
        <v>0</v>
      </c>
      <c r="CC117" s="63"/>
      <c r="CD117" s="63"/>
      <c r="CE117" s="29">
        <f t="shared" si="348"/>
        <v>-1</v>
      </c>
      <c r="CF117" s="137">
        <f t="shared" si="323"/>
        <v>0</v>
      </c>
      <c r="CG117" s="29"/>
      <c r="CH117" s="29">
        <f t="shared" si="324"/>
        <v>1</v>
      </c>
      <c r="CI117" s="63"/>
      <c r="CJ117" s="63"/>
      <c r="CK117" s="29">
        <f t="shared" si="349"/>
        <v>1</v>
      </c>
      <c r="CL117" s="137">
        <f t="shared" si="325"/>
        <v>0</v>
      </c>
      <c r="CM117" s="29"/>
      <c r="CN117" s="29">
        <f t="shared" si="326"/>
        <v>0</v>
      </c>
      <c r="CO117" s="63"/>
      <c r="CP117" s="63"/>
      <c r="CQ117" s="29">
        <f t="shared" si="350"/>
        <v>1</v>
      </c>
      <c r="CR117" s="137">
        <f t="shared" si="327"/>
        <v>0</v>
      </c>
      <c r="CS117" s="29"/>
      <c r="CT117" s="29">
        <f t="shared" si="328"/>
        <v>0</v>
      </c>
      <c r="CU117" s="63"/>
      <c r="CV117" s="63"/>
      <c r="CW117" s="29">
        <f t="shared" si="351"/>
        <v>1</v>
      </c>
      <c r="CX117" s="137">
        <f t="shared" si="329"/>
        <v>0</v>
      </c>
      <c r="CY117" s="29"/>
      <c r="CZ117" s="29">
        <f t="shared" si="330"/>
        <v>0</v>
      </c>
      <c r="DA117" s="63"/>
      <c r="DB117" s="63"/>
      <c r="DC117" s="29">
        <f t="shared" si="352"/>
        <v>1</v>
      </c>
      <c r="DD117" s="137">
        <f t="shared" si="331"/>
        <v>0</v>
      </c>
      <c r="DE117" s="29"/>
      <c r="DF117" s="29">
        <f t="shared" si="332"/>
        <v>0</v>
      </c>
      <c r="DG117" s="63"/>
      <c r="DH117" s="63"/>
      <c r="DI117" s="29">
        <f t="shared" si="353"/>
        <v>1</v>
      </c>
      <c r="DJ117" s="137">
        <f t="shared" si="333"/>
        <v>0</v>
      </c>
      <c r="DK117" s="29"/>
      <c r="DL117" s="29">
        <f t="shared" si="334"/>
        <v>0</v>
      </c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221" t="s">
        <v>73</v>
      </c>
      <c r="B118" s="222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#REF!</v>
      </c>
      <c r="BK118" s="133" t="s">
        <v>51</v>
      </c>
      <c r="BL118" s="133" t="e">
        <f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94" customFormat="1" ht="38.25" customHeight="1">
      <c r="A119" s="217" t="s">
        <v>165</v>
      </c>
      <c r="B119" s="218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/>
      <c r="AZ119" s="131"/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9"/>
      <c r="DR119" s="19"/>
      <c r="DS119" s="131" t="s">
        <v>51</v>
      </c>
      <c r="DT119" s="131" t="s">
        <v>51</v>
      </c>
      <c r="DU119" s="131" t="s">
        <v>51</v>
      </c>
      <c r="DV119" s="131" t="s">
        <v>51</v>
      </c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</row>
    <row r="120" spans="1:206" s="85" customFormat="1" ht="36.75" customHeight="1">
      <c r="A120" s="217" t="s">
        <v>160</v>
      </c>
      <c r="B120" s="218"/>
      <c r="C120" s="17"/>
      <c r="D120" s="130">
        <f>Z120</f>
        <v>0</v>
      </c>
      <c r="E120" s="17"/>
      <c r="F120" s="17"/>
      <c r="G120" s="17">
        <f t="shared" ref="G120:G131" si="358">F120-$C120</f>
        <v>0</v>
      </c>
      <c r="H120" s="17"/>
      <c r="I120" s="17">
        <f t="shared" ref="I120:I131" si="359">H120-$C120</f>
        <v>0</v>
      </c>
      <c r="J120" s="17"/>
      <c r="K120" s="17">
        <f t="shared" ref="K120:K131" si="360">J120-$C120</f>
        <v>0</v>
      </c>
      <c r="L120" s="17"/>
      <c r="M120" s="17">
        <f t="shared" ref="M120:M131" si="361">L120-$C120</f>
        <v>0</v>
      </c>
      <c r="N120" s="17"/>
      <c r="O120" s="17">
        <f t="shared" ref="O120:O131" si="362">N120-$C120</f>
        <v>0</v>
      </c>
      <c r="P120" s="17"/>
      <c r="Q120" s="17">
        <f t="shared" ref="Q120:Q131" si="363">P120-$C120</f>
        <v>0</v>
      </c>
      <c r="R120" s="17"/>
      <c r="S120" s="17">
        <f t="shared" ref="S120:S131" si="364">R120-$C120</f>
        <v>0</v>
      </c>
      <c r="T120" s="17"/>
      <c r="U120" s="17">
        <f t="shared" ref="U120:U131" si="365">T120-$C120</f>
        <v>0</v>
      </c>
      <c r="V120" s="17"/>
      <c r="W120" s="17">
        <f t="shared" ref="W120:W131" si="366">V120-$C120</f>
        <v>0</v>
      </c>
      <c r="X120" s="17"/>
      <c r="Y120" s="17">
        <f t="shared" ref="Y120:Y131" si="367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68">AD120-$D120</f>
        <v>0</v>
      </c>
      <c r="AF120" s="131" t="s">
        <v>51</v>
      </c>
      <c r="AG120" s="17"/>
      <c r="AH120" s="17">
        <f t="shared" ref="AH120:AH131" si="369">AG120-$D120</f>
        <v>0</v>
      </c>
      <c r="AI120" s="131" t="s">
        <v>51</v>
      </c>
      <c r="AJ120" s="17"/>
      <c r="AK120" s="17">
        <f t="shared" ref="AK120:AK131" si="370">AJ120-$D120</f>
        <v>0</v>
      </c>
      <c r="AL120" s="131" t="s">
        <v>51</v>
      </c>
      <c r="AM120" s="17"/>
      <c r="AN120" s="17">
        <f t="shared" ref="AN120:AN131" si="371">AM120-$D120</f>
        <v>0</v>
      </c>
      <c r="AO120" s="131" t="s">
        <v>51</v>
      </c>
      <c r="AP120" s="17"/>
      <c r="AQ120" s="17">
        <f t="shared" ref="AQ120:AQ131" si="372">AP120-$D120</f>
        <v>0</v>
      </c>
      <c r="AR120" s="131" t="s">
        <v>51</v>
      </c>
      <c r="AS120" s="17"/>
      <c r="AT120" s="17">
        <f t="shared" ref="AT120:AT131" si="373">AS120-$D120</f>
        <v>0</v>
      </c>
      <c r="AU120" s="131" t="s">
        <v>51</v>
      </c>
      <c r="AV120" s="17"/>
      <c r="AW120" s="17">
        <f t="shared" ref="AW120:AW131" si="374">AV120-$D120</f>
        <v>0</v>
      </c>
      <c r="AX120" s="131" t="s">
        <v>51</v>
      </c>
      <c r="AY120" s="17"/>
      <c r="AZ120" s="17">
        <f t="shared" ref="AZ120:AZ131" si="375">AY120-$D120</f>
        <v>0</v>
      </c>
      <c r="BA120" s="131" t="s">
        <v>51</v>
      </c>
      <c r="BB120" s="17"/>
      <c r="BC120" s="17">
        <f t="shared" ref="BC120:BC131" si="376">BB120-$D120</f>
        <v>0</v>
      </c>
      <c r="BD120" s="131" t="s">
        <v>51</v>
      </c>
      <c r="BE120" s="17"/>
      <c r="BF120" s="17">
        <f t="shared" ref="BF120:BF131" si="377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ref="BL120:BL131" si="378">IF($D120=0,1,BJ120/$D120-1)</f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215" t="s">
        <v>75</v>
      </c>
      <c r="B121" s="216"/>
      <c r="C121" s="42"/>
      <c r="D121" s="161">
        <f t="shared" ref="D121:D131" si="379">Z121</f>
        <v>0</v>
      </c>
      <c r="E121" s="40"/>
      <c r="F121" s="40"/>
      <c r="G121" s="40">
        <f t="shared" si="358"/>
        <v>0</v>
      </c>
      <c r="H121" s="40"/>
      <c r="I121" s="40">
        <f t="shared" si="359"/>
        <v>0</v>
      </c>
      <c r="J121" s="40"/>
      <c r="K121" s="40">
        <f t="shared" si="360"/>
        <v>0</v>
      </c>
      <c r="L121" s="40"/>
      <c r="M121" s="40">
        <f t="shared" si="361"/>
        <v>0</v>
      </c>
      <c r="N121" s="40"/>
      <c r="O121" s="40">
        <f t="shared" si="362"/>
        <v>0</v>
      </c>
      <c r="P121" s="40"/>
      <c r="Q121" s="40">
        <f t="shared" si="363"/>
        <v>0</v>
      </c>
      <c r="R121" s="40"/>
      <c r="S121" s="40">
        <f t="shared" si="364"/>
        <v>0</v>
      </c>
      <c r="T121" s="40"/>
      <c r="U121" s="40">
        <f t="shared" si="365"/>
        <v>0</v>
      </c>
      <c r="V121" s="40"/>
      <c r="W121" s="40">
        <f t="shared" si="366"/>
        <v>0</v>
      </c>
      <c r="X121" s="40"/>
      <c r="Y121" s="40">
        <f t="shared" si="367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68"/>
        <v>0</v>
      </c>
      <c r="AF121" s="162" t="s">
        <v>51</v>
      </c>
      <c r="AG121" s="42"/>
      <c r="AH121" s="42">
        <f t="shared" si="369"/>
        <v>0</v>
      </c>
      <c r="AI121" s="162" t="s">
        <v>51</v>
      </c>
      <c r="AJ121" s="42"/>
      <c r="AK121" s="42">
        <f t="shared" si="370"/>
        <v>0</v>
      </c>
      <c r="AL121" s="162" t="s">
        <v>51</v>
      </c>
      <c r="AM121" s="42"/>
      <c r="AN121" s="42">
        <f t="shared" si="371"/>
        <v>0</v>
      </c>
      <c r="AO121" s="162" t="s">
        <v>51</v>
      </c>
      <c r="AP121" s="42"/>
      <c r="AQ121" s="42">
        <f t="shared" si="372"/>
        <v>0</v>
      </c>
      <c r="AR121" s="162" t="s">
        <v>51</v>
      </c>
      <c r="AS121" s="42"/>
      <c r="AT121" s="42">
        <f t="shared" si="373"/>
        <v>0</v>
      </c>
      <c r="AU121" s="162" t="s">
        <v>51</v>
      </c>
      <c r="AV121" s="42"/>
      <c r="AW121" s="42">
        <f t="shared" si="374"/>
        <v>0</v>
      </c>
      <c r="AX121" s="162" t="s">
        <v>51</v>
      </c>
      <c r="AY121" s="42"/>
      <c r="AZ121" s="42">
        <f t="shared" si="375"/>
        <v>0</v>
      </c>
      <c r="BA121" s="162" t="s">
        <v>51</v>
      </c>
      <c r="BB121" s="42"/>
      <c r="BC121" s="42">
        <f t="shared" si="376"/>
        <v>0</v>
      </c>
      <c r="BD121" s="162" t="s">
        <v>51</v>
      </c>
      <c r="BE121" s="42"/>
      <c r="BF121" s="42">
        <f t="shared" si="377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78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215" t="s">
        <v>76</v>
      </c>
      <c r="B122" s="216"/>
      <c r="C122" s="42"/>
      <c r="D122" s="161">
        <f t="shared" si="379"/>
        <v>0</v>
      </c>
      <c r="E122" s="40"/>
      <c r="F122" s="40"/>
      <c r="G122" s="40">
        <f t="shared" si="358"/>
        <v>0</v>
      </c>
      <c r="H122" s="40"/>
      <c r="I122" s="40">
        <f t="shared" si="359"/>
        <v>0</v>
      </c>
      <c r="J122" s="40"/>
      <c r="K122" s="40">
        <f t="shared" si="360"/>
        <v>0</v>
      </c>
      <c r="L122" s="40"/>
      <c r="M122" s="40">
        <f t="shared" si="361"/>
        <v>0</v>
      </c>
      <c r="N122" s="40"/>
      <c r="O122" s="40">
        <f t="shared" si="362"/>
        <v>0</v>
      </c>
      <c r="P122" s="40"/>
      <c r="Q122" s="40">
        <f t="shared" si="363"/>
        <v>0</v>
      </c>
      <c r="R122" s="40"/>
      <c r="S122" s="40">
        <f t="shared" si="364"/>
        <v>0</v>
      </c>
      <c r="T122" s="40"/>
      <c r="U122" s="40">
        <f t="shared" si="365"/>
        <v>0</v>
      </c>
      <c r="V122" s="40"/>
      <c r="W122" s="40">
        <f t="shared" si="366"/>
        <v>0</v>
      </c>
      <c r="X122" s="40"/>
      <c r="Y122" s="40">
        <f t="shared" si="367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68"/>
        <v>0</v>
      </c>
      <c r="AF122" s="162" t="s">
        <v>51</v>
      </c>
      <c r="AG122" s="42"/>
      <c r="AH122" s="42">
        <f t="shared" si="369"/>
        <v>0</v>
      </c>
      <c r="AI122" s="162" t="s">
        <v>51</v>
      </c>
      <c r="AJ122" s="42"/>
      <c r="AK122" s="42">
        <f t="shared" si="370"/>
        <v>0</v>
      </c>
      <c r="AL122" s="162" t="s">
        <v>51</v>
      </c>
      <c r="AM122" s="42"/>
      <c r="AN122" s="42">
        <f t="shared" si="371"/>
        <v>0</v>
      </c>
      <c r="AO122" s="162" t="s">
        <v>51</v>
      </c>
      <c r="AP122" s="42"/>
      <c r="AQ122" s="42">
        <f t="shared" si="372"/>
        <v>0</v>
      </c>
      <c r="AR122" s="162" t="s">
        <v>51</v>
      </c>
      <c r="AS122" s="42"/>
      <c r="AT122" s="42">
        <f t="shared" si="373"/>
        <v>0</v>
      </c>
      <c r="AU122" s="162" t="s">
        <v>51</v>
      </c>
      <c r="AV122" s="42"/>
      <c r="AW122" s="42">
        <f t="shared" si="374"/>
        <v>0</v>
      </c>
      <c r="AX122" s="162" t="s">
        <v>51</v>
      </c>
      <c r="AY122" s="42"/>
      <c r="AZ122" s="42">
        <f t="shared" si="375"/>
        <v>0</v>
      </c>
      <c r="BA122" s="162" t="s">
        <v>51</v>
      </c>
      <c r="BB122" s="42"/>
      <c r="BC122" s="42">
        <f t="shared" si="376"/>
        <v>0</v>
      </c>
      <c r="BD122" s="162" t="s">
        <v>51</v>
      </c>
      <c r="BE122" s="42"/>
      <c r="BF122" s="42">
        <f t="shared" si="377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78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215" t="s">
        <v>129</v>
      </c>
      <c r="B123" s="216"/>
      <c r="C123" s="42"/>
      <c r="D123" s="138">
        <f t="shared" si="379"/>
        <v>0</v>
      </c>
      <c r="E123" s="30"/>
      <c r="F123" s="30"/>
      <c r="G123" s="30">
        <f t="shared" si="358"/>
        <v>0</v>
      </c>
      <c r="H123" s="30"/>
      <c r="I123" s="30">
        <f t="shared" si="359"/>
        <v>0</v>
      </c>
      <c r="J123" s="30"/>
      <c r="K123" s="30">
        <f t="shared" si="360"/>
        <v>0</v>
      </c>
      <c r="L123" s="30"/>
      <c r="M123" s="30">
        <f t="shared" si="361"/>
        <v>0</v>
      </c>
      <c r="N123" s="30"/>
      <c r="O123" s="30">
        <f t="shared" si="362"/>
        <v>0</v>
      </c>
      <c r="P123" s="30"/>
      <c r="Q123" s="30">
        <f t="shared" si="363"/>
        <v>0</v>
      </c>
      <c r="R123" s="30"/>
      <c r="S123" s="30">
        <f t="shared" si="364"/>
        <v>0</v>
      </c>
      <c r="T123" s="30"/>
      <c r="U123" s="30">
        <f t="shared" si="365"/>
        <v>0</v>
      </c>
      <c r="V123" s="30"/>
      <c r="W123" s="30">
        <f t="shared" si="366"/>
        <v>0</v>
      </c>
      <c r="X123" s="40"/>
      <c r="Y123" s="30">
        <f t="shared" si="367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68"/>
        <v>0</v>
      </c>
      <c r="AF123" s="162" t="s">
        <v>51</v>
      </c>
      <c r="AG123" s="29"/>
      <c r="AH123" s="29">
        <f t="shared" si="369"/>
        <v>0</v>
      </c>
      <c r="AI123" s="162" t="s">
        <v>51</v>
      </c>
      <c r="AJ123" s="29"/>
      <c r="AK123" s="29">
        <f t="shared" si="370"/>
        <v>0</v>
      </c>
      <c r="AL123" s="162" t="s">
        <v>51</v>
      </c>
      <c r="AM123" s="29"/>
      <c r="AN123" s="29">
        <f t="shared" si="371"/>
        <v>0</v>
      </c>
      <c r="AO123" s="162" t="s">
        <v>51</v>
      </c>
      <c r="AP123" s="29"/>
      <c r="AQ123" s="29">
        <f t="shared" si="372"/>
        <v>0</v>
      </c>
      <c r="AR123" s="162" t="s">
        <v>51</v>
      </c>
      <c r="AS123" s="29"/>
      <c r="AT123" s="29">
        <f t="shared" si="373"/>
        <v>0</v>
      </c>
      <c r="AU123" s="162" t="s">
        <v>51</v>
      </c>
      <c r="AV123" s="29"/>
      <c r="AW123" s="29">
        <f t="shared" si="374"/>
        <v>0</v>
      </c>
      <c r="AX123" s="162" t="s">
        <v>51</v>
      </c>
      <c r="AY123" s="29"/>
      <c r="AZ123" s="29">
        <f t="shared" si="375"/>
        <v>0</v>
      </c>
      <c r="BA123" s="162" t="s">
        <v>51</v>
      </c>
      <c r="BB123" s="29"/>
      <c r="BC123" s="29">
        <f t="shared" si="376"/>
        <v>0</v>
      </c>
      <c r="BD123" s="162" t="s">
        <v>51</v>
      </c>
      <c r="BE123" s="29"/>
      <c r="BF123" s="29">
        <f t="shared" si="377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78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217" t="s">
        <v>161</v>
      </c>
      <c r="B124" s="218"/>
      <c r="C124" s="17"/>
      <c r="D124" s="130">
        <f t="shared" si="379"/>
        <v>0</v>
      </c>
      <c r="E124" s="17"/>
      <c r="F124" s="17"/>
      <c r="G124" s="17">
        <f t="shared" si="358"/>
        <v>0</v>
      </c>
      <c r="H124" s="17"/>
      <c r="I124" s="17">
        <f t="shared" si="359"/>
        <v>0</v>
      </c>
      <c r="J124" s="17"/>
      <c r="K124" s="17">
        <f t="shared" si="360"/>
        <v>0</v>
      </c>
      <c r="L124" s="17"/>
      <c r="M124" s="17">
        <f t="shared" si="361"/>
        <v>0</v>
      </c>
      <c r="N124" s="17"/>
      <c r="O124" s="17">
        <f t="shared" si="362"/>
        <v>0</v>
      </c>
      <c r="P124" s="17"/>
      <c r="Q124" s="17">
        <f t="shared" si="363"/>
        <v>0</v>
      </c>
      <c r="R124" s="17"/>
      <c r="S124" s="17">
        <f t="shared" si="364"/>
        <v>0</v>
      </c>
      <c r="T124" s="17"/>
      <c r="U124" s="17">
        <f t="shared" si="365"/>
        <v>0</v>
      </c>
      <c r="V124" s="17"/>
      <c r="W124" s="17">
        <f t="shared" si="366"/>
        <v>0</v>
      </c>
      <c r="X124" s="17"/>
      <c r="Y124" s="17">
        <f t="shared" si="367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68"/>
        <v>0</v>
      </c>
      <c r="AF124" s="143" t="s">
        <v>51</v>
      </c>
      <c r="AG124" s="17"/>
      <c r="AH124" s="17">
        <f t="shared" si="369"/>
        <v>0</v>
      </c>
      <c r="AI124" s="143" t="s">
        <v>51</v>
      </c>
      <c r="AJ124" s="17"/>
      <c r="AK124" s="17">
        <f t="shared" si="370"/>
        <v>0</v>
      </c>
      <c r="AL124" s="143" t="s">
        <v>51</v>
      </c>
      <c r="AM124" s="17"/>
      <c r="AN124" s="17">
        <f t="shared" si="371"/>
        <v>0</v>
      </c>
      <c r="AO124" s="143" t="s">
        <v>51</v>
      </c>
      <c r="AP124" s="17"/>
      <c r="AQ124" s="17">
        <f t="shared" si="372"/>
        <v>0</v>
      </c>
      <c r="AR124" s="143" t="s">
        <v>51</v>
      </c>
      <c r="AS124" s="17"/>
      <c r="AT124" s="17">
        <f t="shared" si="373"/>
        <v>0</v>
      </c>
      <c r="AU124" s="143" t="s">
        <v>51</v>
      </c>
      <c r="AV124" s="17"/>
      <c r="AW124" s="17">
        <f t="shared" si="374"/>
        <v>0</v>
      </c>
      <c r="AX124" s="143" t="s">
        <v>51</v>
      </c>
      <c r="AY124" s="17"/>
      <c r="AZ124" s="17">
        <f t="shared" si="375"/>
        <v>0</v>
      </c>
      <c r="BA124" s="143" t="s">
        <v>51</v>
      </c>
      <c r="BB124" s="17"/>
      <c r="BC124" s="17">
        <f t="shared" si="376"/>
        <v>0</v>
      </c>
      <c r="BD124" s="143" t="s">
        <v>51</v>
      </c>
      <c r="BE124" s="17"/>
      <c r="BF124" s="17">
        <f t="shared" si="377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78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215" t="s">
        <v>75</v>
      </c>
      <c r="B125" s="216"/>
      <c r="C125" s="42"/>
      <c r="D125" s="161">
        <f t="shared" si="379"/>
        <v>0</v>
      </c>
      <c r="E125" s="40"/>
      <c r="F125" s="40"/>
      <c r="G125" s="40">
        <f t="shared" si="358"/>
        <v>0</v>
      </c>
      <c r="H125" s="40"/>
      <c r="I125" s="40">
        <f t="shared" si="359"/>
        <v>0</v>
      </c>
      <c r="J125" s="40"/>
      <c r="K125" s="40">
        <f t="shared" si="360"/>
        <v>0</v>
      </c>
      <c r="L125" s="40"/>
      <c r="M125" s="40">
        <f t="shared" si="361"/>
        <v>0</v>
      </c>
      <c r="N125" s="40"/>
      <c r="O125" s="40">
        <f t="shared" si="362"/>
        <v>0</v>
      </c>
      <c r="P125" s="40"/>
      <c r="Q125" s="40">
        <f t="shared" si="363"/>
        <v>0</v>
      </c>
      <c r="R125" s="40"/>
      <c r="S125" s="40">
        <f t="shared" si="364"/>
        <v>0</v>
      </c>
      <c r="T125" s="40"/>
      <c r="U125" s="40">
        <f t="shared" si="365"/>
        <v>0</v>
      </c>
      <c r="V125" s="40"/>
      <c r="W125" s="40">
        <f t="shared" si="366"/>
        <v>0</v>
      </c>
      <c r="X125" s="40"/>
      <c r="Y125" s="40">
        <f t="shared" si="367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68"/>
        <v>0</v>
      </c>
      <c r="AF125" s="162" t="s">
        <v>51</v>
      </c>
      <c r="AG125" s="40"/>
      <c r="AH125" s="40">
        <f t="shared" si="369"/>
        <v>0</v>
      </c>
      <c r="AI125" s="162" t="s">
        <v>51</v>
      </c>
      <c r="AJ125" s="40"/>
      <c r="AK125" s="40">
        <f t="shared" si="370"/>
        <v>0</v>
      </c>
      <c r="AL125" s="162" t="s">
        <v>51</v>
      </c>
      <c r="AM125" s="40"/>
      <c r="AN125" s="40">
        <f t="shared" si="371"/>
        <v>0</v>
      </c>
      <c r="AO125" s="162" t="s">
        <v>51</v>
      </c>
      <c r="AP125" s="40"/>
      <c r="AQ125" s="40">
        <f t="shared" si="372"/>
        <v>0</v>
      </c>
      <c r="AR125" s="162" t="s">
        <v>51</v>
      </c>
      <c r="AS125" s="40"/>
      <c r="AT125" s="40">
        <f t="shared" si="373"/>
        <v>0</v>
      </c>
      <c r="AU125" s="162" t="s">
        <v>51</v>
      </c>
      <c r="AV125" s="40"/>
      <c r="AW125" s="40">
        <f t="shared" si="374"/>
        <v>0</v>
      </c>
      <c r="AX125" s="162" t="s">
        <v>51</v>
      </c>
      <c r="AY125" s="40"/>
      <c r="AZ125" s="40">
        <f t="shared" si="375"/>
        <v>0</v>
      </c>
      <c r="BA125" s="162" t="s">
        <v>51</v>
      </c>
      <c r="BB125" s="40"/>
      <c r="BC125" s="40">
        <f t="shared" si="376"/>
        <v>0</v>
      </c>
      <c r="BD125" s="162" t="s">
        <v>51</v>
      </c>
      <c r="BE125" s="40"/>
      <c r="BF125" s="40">
        <f t="shared" si="377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78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215" t="s">
        <v>76</v>
      </c>
      <c r="B126" s="216"/>
      <c r="C126" s="42"/>
      <c r="D126" s="161">
        <f t="shared" si="379"/>
        <v>0</v>
      </c>
      <c r="E126" s="40"/>
      <c r="F126" s="40"/>
      <c r="G126" s="40">
        <f t="shared" si="358"/>
        <v>0</v>
      </c>
      <c r="H126" s="40"/>
      <c r="I126" s="40">
        <f t="shared" si="359"/>
        <v>0</v>
      </c>
      <c r="J126" s="40"/>
      <c r="K126" s="40">
        <f t="shared" si="360"/>
        <v>0</v>
      </c>
      <c r="L126" s="40"/>
      <c r="M126" s="40">
        <f t="shared" si="361"/>
        <v>0</v>
      </c>
      <c r="N126" s="40"/>
      <c r="O126" s="40">
        <f t="shared" si="362"/>
        <v>0</v>
      </c>
      <c r="P126" s="40"/>
      <c r="Q126" s="40">
        <f t="shared" si="363"/>
        <v>0</v>
      </c>
      <c r="R126" s="40"/>
      <c r="S126" s="40">
        <f t="shared" si="364"/>
        <v>0</v>
      </c>
      <c r="T126" s="40"/>
      <c r="U126" s="40">
        <f t="shared" si="365"/>
        <v>0</v>
      </c>
      <c r="V126" s="40"/>
      <c r="W126" s="40">
        <f t="shared" si="366"/>
        <v>0</v>
      </c>
      <c r="X126" s="40"/>
      <c r="Y126" s="40">
        <f t="shared" si="367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68"/>
        <v>0</v>
      </c>
      <c r="AF126" s="162" t="s">
        <v>51</v>
      </c>
      <c r="AG126" s="40"/>
      <c r="AH126" s="40">
        <f t="shared" si="369"/>
        <v>0</v>
      </c>
      <c r="AI126" s="162" t="s">
        <v>51</v>
      </c>
      <c r="AJ126" s="40"/>
      <c r="AK126" s="40">
        <f t="shared" si="370"/>
        <v>0</v>
      </c>
      <c r="AL126" s="162" t="s">
        <v>51</v>
      </c>
      <c r="AM126" s="40"/>
      <c r="AN126" s="40">
        <f t="shared" si="371"/>
        <v>0</v>
      </c>
      <c r="AO126" s="162" t="s">
        <v>51</v>
      </c>
      <c r="AP126" s="40"/>
      <c r="AQ126" s="40">
        <f t="shared" si="372"/>
        <v>0</v>
      </c>
      <c r="AR126" s="162" t="s">
        <v>51</v>
      </c>
      <c r="AS126" s="40"/>
      <c r="AT126" s="40">
        <f t="shared" si="373"/>
        <v>0</v>
      </c>
      <c r="AU126" s="162" t="s">
        <v>51</v>
      </c>
      <c r="AV126" s="40"/>
      <c r="AW126" s="40">
        <f t="shared" si="374"/>
        <v>0</v>
      </c>
      <c r="AX126" s="162" t="s">
        <v>51</v>
      </c>
      <c r="AY126" s="40"/>
      <c r="AZ126" s="40">
        <f t="shared" si="375"/>
        <v>0</v>
      </c>
      <c r="BA126" s="162" t="s">
        <v>51</v>
      </c>
      <c r="BB126" s="40"/>
      <c r="BC126" s="40">
        <f t="shared" si="376"/>
        <v>0</v>
      </c>
      <c r="BD126" s="162" t="s">
        <v>51</v>
      </c>
      <c r="BE126" s="40"/>
      <c r="BF126" s="40">
        <f t="shared" si="377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78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215" t="s">
        <v>129</v>
      </c>
      <c r="B127" s="216"/>
      <c r="C127" s="42"/>
      <c r="D127" s="138">
        <f t="shared" si="379"/>
        <v>0</v>
      </c>
      <c r="E127" s="30"/>
      <c r="F127" s="30"/>
      <c r="G127" s="30">
        <f t="shared" si="358"/>
        <v>0</v>
      </c>
      <c r="H127" s="30"/>
      <c r="I127" s="30">
        <f t="shared" si="359"/>
        <v>0</v>
      </c>
      <c r="J127" s="30"/>
      <c r="K127" s="30">
        <f t="shared" si="360"/>
        <v>0</v>
      </c>
      <c r="L127" s="30"/>
      <c r="M127" s="30">
        <f t="shared" si="361"/>
        <v>0</v>
      </c>
      <c r="N127" s="30"/>
      <c r="O127" s="30">
        <f t="shared" si="362"/>
        <v>0</v>
      </c>
      <c r="P127" s="30"/>
      <c r="Q127" s="30">
        <f t="shared" si="363"/>
        <v>0</v>
      </c>
      <c r="R127" s="30"/>
      <c r="S127" s="30">
        <f t="shared" si="364"/>
        <v>0</v>
      </c>
      <c r="T127" s="30"/>
      <c r="U127" s="30">
        <f t="shared" si="365"/>
        <v>0</v>
      </c>
      <c r="V127" s="30"/>
      <c r="W127" s="30">
        <f t="shared" si="366"/>
        <v>0</v>
      </c>
      <c r="X127" s="30"/>
      <c r="Y127" s="30">
        <f t="shared" si="367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68"/>
        <v>0</v>
      </c>
      <c r="AF127" s="162" t="s">
        <v>51</v>
      </c>
      <c r="AG127" s="30"/>
      <c r="AH127" s="30">
        <f t="shared" si="369"/>
        <v>0</v>
      </c>
      <c r="AI127" s="162" t="s">
        <v>51</v>
      </c>
      <c r="AJ127" s="30"/>
      <c r="AK127" s="30">
        <f t="shared" si="370"/>
        <v>0</v>
      </c>
      <c r="AL127" s="162" t="s">
        <v>51</v>
      </c>
      <c r="AM127" s="30"/>
      <c r="AN127" s="30">
        <f t="shared" si="371"/>
        <v>0</v>
      </c>
      <c r="AO127" s="162" t="s">
        <v>51</v>
      </c>
      <c r="AP127" s="30"/>
      <c r="AQ127" s="30">
        <f t="shared" si="372"/>
        <v>0</v>
      </c>
      <c r="AR127" s="162" t="s">
        <v>51</v>
      </c>
      <c r="AS127" s="30"/>
      <c r="AT127" s="30">
        <f t="shared" si="373"/>
        <v>0</v>
      </c>
      <c r="AU127" s="162" t="s">
        <v>51</v>
      </c>
      <c r="AV127" s="30"/>
      <c r="AW127" s="30">
        <f t="shared" si="374"/>
        <v>0</v>
      </c>
      <c r="AX127" s="162" t="s">
        <v>51</v>
      </c>
      <c r="AY127" s="30"/>
      <c r="AZ127" s="30">
        <f t="shared" si="375"/>
        <v>0</v>
      </c>
      <c r="BA127" s="162" t="s">
        <v>51</v>
      </c>
      <c r="BB127" s="30"/>
      <c r="BC127" s="30">
        <f t="shared" si="376"/>
        <v>0</v>
      </c>
      <c r="BD127" s="162" t="s">
        <v>51</v>
      </c>
      <c r="BE127" s="30"/>
      <c r="BF127" s="30">
        <f t="shared" si="377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78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217" t="s">
        <v>162</v>
      </c>
      <c r="B128" s="218"/>
      <c r="C128" s="17"/>
      <c r="D128" s="130">
        <f t="shared" si="379"/>
        <v>0</v>
      </c>
      <c r="E128" s="17"/>
      <c r="F128" s="17"/>
      <c r="G128" s="17">
        <f t="shared" si="358"/>
        <v>0</v>
      </c>
      <c r="H128" s="17"/>
      <c r="I128" s="17">
        <f t="shared" si="359"/>
        <v>0</v>
      </c>
      <c r="J128" s="17"/>
      <c r="K128" s="17">
        <f t="shared" si="360"/>
        <v>0</v>
      </c>
      <c r="L128" s="17"/>
      <c r="M128" s="17">
        <f t="shared" si="361"/>
        <v>0</v>
      </c>
      <c r="N128" s="17"/>
      <c r="O128" s="17">
        <f t="shared" si="362"/>
        <v>0</v>
      </c>
      <c r="P128" s="17"/>
      <c r="Q128" s="17">
        <f t="shared" si="363"/>
        <v>0</v>
      </c>
      <c r="R128" s="17"/>
      <c r="S128" s="17">
        <f t="shared" si="364"/>
        <v>0</v>
      </c>
      <c r="T128" s="17"/>
      <c r="U128" s="17">
        <f t="shared" si="365"/>
        <v>0</v>
      </c>
      <c r="V128" s="17"/>
      <c r="W128" s="17">
        <f t="shared" si="366"/>
        <v>0</v>
      </c>
      <c r="X128" s="17"/>
      <c r="Y128" s="17">
        <f t="shared" si="367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68"/>
        <v>0</v>
      </c>
      <c r="AF128" s="143" t="s">
        <v>51</v>
      </c>
      <c r="AG128" s="17"/>
      <c r="AH128" s="17">
        <f t="shared" si="369"/>
        <v>0</v>
      </c>
      <c r="AI128" s="143" t="s">
        <v>51</v>
      </c>
      <c r="AJ128" s="17"/>
      <c r="AK128" s="17">
        <f t="shared" si="370"/>
        <v>0</v>
      </c>
      <c r="AL128" s="143" t="s">
        <v>51</v>
      </c>
      <c r="AM128" s="17"/>
      <c r="AN128" s="17">
        <f t="shared" si="371"/>
        <v>0</v>
      </c>
      <c r="AO128" s="143" t="s">
        <v>51</v>
      </c>
      <c r="AP128" s="17"/>
      <c r="AQ128" s="17">
        <f t="shared" si="372"/>
        <v>0</v>
      </c>
      <c r="AR128" s="143" t="s">
        <v>51</v>
      </c>
      <c r="AS128" s="17"/>
      <c r="AT128" s="17">
        <f t="shared" si="373"/>
        <v>0</v>
      </c>
      <c r="AU128" s="143" t="s">
        <v>51</v>
      </c>
      <c r="AV128" s="17"/>
      <c r="AW128" s="17">
        <f t="shared" si="374"/>
        <v>0</v>
      </c>
      <c r="AX128" s="143" t="s">
        <v>51</v>
      </c>
      <c r="AY128" s="17"/>
      <c r="AZ128" s="17">
        <f t="shared" si="375"/>
        <v>0</v>
      </c>
      <c r="BA128" s="143" t="s">
        <v>51</v>
      </c>
      <c r="BB128" s="17"/>
      <c r="BC128" s="17">
        <f t="shared" si="376"/>
        <v>0</v>
      </c>
      <c r="BD128" s="143" t="s">
        <v>51</v>
      </c>
      <c r="BE128" s="17"/>
      <c r="BF128" s="17">
        <f t="shared" si="377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78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219" t="s">
        <v>78</v>
      </c>
      <c r="B129" s="220"/>
      <c r="C129" s="30"/>
      <c r="D129" s="137">
        <f t="shared" si="379"/>
        <v>0</v>
      </c>
      <c r="E129" s="29"/>
      <c r="F129" s="29"/>
      <c r="G129" s="29">
        <f t="shared" si="358"/>
        <v>0</v>
      </c>
      <c r="H129" s="29"/>
      <c r="I129" s="29">
        <f t="shared" si="359"/>
        <v>0</v>
      </c>
      <c r="J129" s="29"/>
      <c r="K129" s="29">
        <f t="shared" si="360"/>
        <v>0</v>
      </c>
      <c r="L129" s="29"/>
      <c r="M129" s="29">
        <f t="shared" si="361"/>
        <v>0</v>
      </c>
      <c r="N129" s="29"/>
      <c r="O129" s="29">
        <f t="shared" si="362"/>
        <v>0</v>
      </c>
      <c r="P129" s="29"/>
      <c r="Q129" s="29">
        <f t="shared" si="363"/>
        <v>0</v>
      </c>
      <c r="R129" s="29"/>
      <c r="S129" s="29">
        <f t="shared" si="364"/>
        <v>0</v>
      </c>
      <c r="T129" s="29"/>
      <c r="U129" s="29">
        <f t="shared" si="365"/>
        <v>0</v>
      </c>
      <c r="V129" s="29"/>
      <c r="W129" s="29">
        <f t="shared" si="366"/>
        <v>0</v>
      </c>
      <c r="X129" s="29"/>
      <c r="Y129" s="29">
        <f t="shared" si="367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68"/>
        <v>0</v>
      </c>
      <c r="AF129" s="162" t="s">
        <v>51</v>
      </c>
      <c r="AG129" s="29"/>
      <c r="AH129" s="29">
        <f t="shared" si="369"/>
        <v>0</v>
      </c>
      <c r="AI129" s="162" t="s">
        <v>51</v>
      </c>
      <c r="AJ129" s="29"/>
      <c r="AK129" s="29">
        <f t="shared" si="370"/>
        <v>0</v>
      </c>
      <c r="AL129" s="162" t="s">
        <v>51</v>
      </c>
      <c r="AM129" s="29"/>
      <c r="AN129" s="29">
        <f t="shared" si="371"/>
        <v>0</v>
      </c>
      <c r="AO129" s="162" t="s">
        <v>51</v>
      </c>
      <c r="AP129" s="29"/>
      <c r="AQ129" s="29">
        <f t="shared" si="372"/>
        <v>0</v>
      </c>
      <c r="AR129" s="162" t="s">
        <v>51</v>
      </c>
      <c r="AS129" s="29"/>
      <c r="AT129" s="29">
        <f t="shared" si="373"/>
        <v>0</v>
      </c>
      <c r="AU129" s="162" t="s">
        <v>51</v>
      </c>
      <c r="AV129" s="29"/>
      <c r="AW129" s="29">
        <f t="shared" si="374"/>
        <v>0</v>
      </c>
      <c r="AX129" s="162" t="s">
        <v>51</v>
      </c>
      <c r="AY129" s="29"/>
      <c r="AZ129" s="29">
        <f t="shared" si="375"/>
        <v>0</v>
      </c>
      <c r="BA129" s="162" t="s">
        <v>51</v>
      </c>
      <c r="BB129" s="29"/>
      <c r="BC129" s="29">
        <f t="shared" si="376"/>
        <v>0</v>
      </c>
      <c r="BD129" s="162" t="s">
        <v>51</v>
      </c>
      <c r="BE129" s="29"/>
      <c r="BF129" s="29">
        <f t="shared" si="377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78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217" t="s">
        <v>163</v>
      </c>
      <c r="B130" s="218"/>
      <c r="C130" s="17"/>
      <c r="D130" s="130">
        <f t="shared" si="379"/>
        <v>0</v>
      </c>
      <c r="E130" s="17"/>
      <c r="F130" s="17"/>
      <c r="G130" s="17">
        <f t="shared" si="358"/>
        <v>0</v>
      </c>
      <c r="H130" s="17"/>
      <c r="I130" s="17">
        <f t="shared" si="359"/>
        <v>0</v>
      </c>
      <c r="J130" s="17"/>
      <c r="K130" s="17">
        <f t="shared" si="360"/>
        <v>0</v>
      </c>
      <c r="L130" s="17"/>
      <c r="M130" s="17">
        <f t="shared" si="361"/>
        <v>0</v>
      </c>
      <c r="N130" s="17"/>
      <c r="O130" s="17">
        <f t="shared" si="362"/>
        <v>0</v>
      </c>
      <c r="P130" s="17"/>
      <c r="Q130" s="17">
        <f t="shared" si="363"/>
        <v>0</v>
      </c>
      <c r="R130" s="17"/>
      <c r="S130" s="17">
        <f t="shared" si="364"/>
        <v>0</v>
      </c>
      <c r="T130" s="17"/>
      <c r="U130" s="17">
        <f t="shared" si="365"/>
        <v>0</v>
      </c>
      <c r="V130" s="17"/>
      <c r="W130" s="17">
        <f t="shared" si="366"/>
        <v>0</v>
      </c>
      <c r="X130" s="17"/>
      <c r="Y130" s="17">
        <f t="shared" si="367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68"/>
        <v>0</v>
      </c>
      <c r="AF130" s="143" t="s">
        <v>51</v>
      </c>
      <c r="AG130" s="17"/>
      <c r="AH130" s="17">
        <f t="shared" si="369"/>
        <v>0</v>
      </c>
      <c r="AI130" s="143" t="s">
        <v>51</v>
      </c>
      <c r="AJ130" s="17"/>
      <c r="AK130" s="17">
        <f t="shared" si="370"/>
        <v>0</v>
      </c>
      <c r="AL130" s="143" t="s">
        <v>51</v>
      </c>
      <c r="AM130" s="17"/>
      <c r="AN130" s="17">
        <f t="shared" si="371"/>
        <v>0</v>
      </c>
      <c r="AO130" s="143" t="s">
        <v>51</v>
      </c>
      <c r="AP130" s="17"/>
      <c r="AQ130" s="17">
        <f t="shared" si="372"/>
        <v>0</v>
      </c>
      <c r="AR130" s="143" t="s">
        <v>51</v>
      </c>
      <c r="AS130" s="17"/>
      <c r="AT130" s="17">
        <f t="shared" si="373"/>
        <v>0</v>
      </c>
      <c r="AU130" s="143" t="s">
        <v>51</v>
      </c>
      <c r="AV130" s="17"/>
      <c r="AW130" s="17">
        <f t="shared" si="374"/>
        <v>0</v>
      </c>
      <c r="AX130" s="143" t="s">
        <v>51</v>
      </c>
      <c r="AY130" s="17"/>
      <c r="AZ130" s="17">
        <f t="shared" si="375"/>
        <v>0</v>
      </c>
      <c r="BA130" s="143" t="s">
        <v>51</v>
      </c>
      <c r="BB130" s="17"/>
      <c r="BC130" s="17">
        <f t="shared" si="376"/>
        <v>0</v>
      </c>
      <c r="BD130" s="143" t="s">
        <v>51</v>
      </c>
      <c r="BE130" s="17"/>
      <c r="BF130" s="17">
        <f t="shared" si="377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78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217" t="s">
        <v>164</v>
      </c>
      <c r="B131" s="218"/>
      <c r="C131" s="17"/>
      <c r="D131" s="130">
        <f t="shared" si="379"/>
        <v>0</v>
      </c>
      <c r="E131" s="17"/>
      <c r="F131" s="17"/>
      <c r="G131" s="17">
        <f t="shared" si="358"/>
        <v>0</v>
      </c>
      <c r="H131" s="17"/>
      <c r="I131" s="17">
        <f t="shared" si="359"/>
        <v>0</v>
      </c>
      <c r="J131" s="17"/>
      <c r="K131" s="17">
        <f t="shared" si="360"/>
        <v>0</v>
      </c>
      <c r="L131" s="17"/>
      <c r="M131" s="17">
        <f t="shared" si="361"/>
        <v>0</v>
      </c>
      <c r="N131" s="17"/>
      <c r="O131" s="17">
        <f t="shared" si="362"/>
        <v>0</v>
      </c>
      <c r="P131" s="17"/>
      <c r="Q131" s="17">
        <f t="shared" si="363"/>
        <v>0</v>
      </c>
      <c r="R131" s="17"/>
      <c r="S131" s="17">
        <f t="shared" si="364"/>
        <v>0</v>
      </c>
      <c r="T131" s="17"/>
      <c r="U131" s="17">
        <f t="shared" si="365"/>
        <v>0</v>
      </c>
      <c r="V131" s="17"/>
      <c r="W131" s="17">
        <f t="shared" si="366"/>
        <v>0</v>
      </c>
      <c r="X131" s="17"/>
      <c r="Y131" s="17">
        <f t="shared" si="367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68"/>
        <v>0</v>
      </c>
      <c r="AF131" s="143">
        <f>IF(G131=0,1,AE131/G131-1)</f>
        <v>1</v>
      </c>
      <c r="AG131" s="17"/>
      <c r="AH131" s="17">
        <f t="shared" si="369"/>
        <v>0</v>
      </c>
      <c r="AI131" s="143">
        <f>IF(I131=0,1,AH131/I131-1)</f>
        <v>1</v>
      </c>
      <c r="AJ131" s="17"/>
      <c r="AK131" s="17">
        <f t="shared" si="370"/>
        <v>0</v>
      </c>
      <c r="AL131" s="143">
        <f>IF(K131=0,1,AK131/K131-1)</f>
        <v>1</v>
      </c>
      <c r="AM131" s="17"/>
      <c r="AN131" s="17">
        <f t="shared" si="371"/>
        <v>0</v>
      </c>
      <c r="AO131" s="143">
        <f>IF(M131=0,1,AN131/M131-1)</f>
        <v>1</v>
      </c>
      <c r="AP131" s="17"/>
      <c r="AQ131" s="17">
        <f t="shared" si="372"/>
        <v>0</v>
      </c>
      <c r="AR131" s="143">
        <f>IF(O131=0,1,AQ131/O131-1)</f>
        <v>1</v>
      </c>
      <c r="AS131" s="17"/>
      <c r="AT131" s="17">
        <f t="shared" si="373"/>
        <v>0</v>
      </c>
      <c r="AU131" s="143">
        <f>IF(Q131=0,1,AT131/Q131-1)</f>
        <v>1</v>
      </c>
      <c r="AV131" s="17"/>
      <c r="AW131" s="17">
        <f t="shared" si="374"/>
        <v>0</v>
      </c>
      <c r="AX131" s="143">
        <f>IF(S131=0,1,AW131/S131-1)</f>
        <v>1</v>
      </c>
      <c r="AY131" s="17"/>
      <c r="AZ131" s="17">
        <f t="shared" si="375"/>
        <v>0</v>
      </c>
      <c r="BA131" s="143">
        <f>IF(U131=0,1,AZ131/U131-1)</f>
        <v>1</v>
      </c>
      <c r="BB131" s="17"/>
      <c r="BC131" s="17">
        <f t="shared" si="376"/>
        <v>0</v>
      </c>
      <c r="BD131" s="143">
        <f>IF(W131=0,1,BC131/W131-1)</f>
        <v>1</v>
      </c>
      <c r="BE131" s="17"/>
      <c r="BF131" s="17">
        <f t="shared" si="377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78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9" scale="43" fitToWidth="3" fitToHeight="5" orientation="landscape" r:id="rId1"/>
  <headerFooter alignWithMargins="0"/>
  <rowBreaks count="1" manualBreakCount="1">
    <brk id="7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GX325"/>
  <sheetViews>
    <sheetView zoomScale="70" zoomScaleNormal="70" zoomScaleSheetLayoutView="75" workbookViewId="0">
      <pane xSplit="2" ySplit="8" topLeftCell="D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C4" sqref="C1:C1048576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72" t="s">
        <v>159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</row>
    <row r="2" spans="1:206" ht="21.75" customHeight="1">
      <c r="A2" s="3"/>
      <c r="C2" s="278" t="s">
        <v>171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</row>
    <row r="3" spans="1:206" ht="15.75" customHeight="1">
      <c r="C3" s="278">
        <f>'бюджет округа (района)'!C3:BL3</f>
        <v>0</v>
      </c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8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61" t="s">
        <v>3</v>
      </c>
      <c r="B5" s="262"/>
      <c r="C5" s="100" t="str">
        <f>'бюджет округа (района)'!C5:C5</f>
        <v>2014 год</v>
      </c>
      <c r="D5" s="269" t="str">
        <f>'бюджет округа (района)'!D5:Z5</f>
        <v>20___ год (отчетный финансовый год)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 t="str">
        <f>'бюджет округа (района)'!AA5:BL5</f>
        <v>20___ год (текущий финансовый год)</v>
      </c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9"/>
    </row>
    <row r="6" spans="1:206" s="120" customFormat="1" ht="16.5" customHeight="1">
      <c r="A6" s="263"/>
      <c r="B6" s="264"/>
      <c r="C6" s="270" t="s">
        <v>149</v>
      </c>
      <c r="D6" s="271" t="s">
        <v>149</v>
      </c>
      <c r="E6" s="270" t="s">
        <v>8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 t="s">
        <v>150</v>
      </c>
      <c r="AB6" s="259" t="s">
        <v>96</v>
      </c>
      <c r="AC6" s="260" t="s">
        <v>10</v>
      </c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  <c r="BG6" s="260"/>
      <c r="BH6" s="260"/>
      <c r="BI6" s="260"/>
      <c r="BJ6" s="273" t="s">
        <v>125</v>
      </c>
      <c r="BK6" s="277" t="s">
        <v>126</v>
      </c>
      <c r="BL6" s="277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63"/>
      <c r="B7" s="264"/>
      <c r="C7" s="270"/>
      <c r="D7" s="271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70"/>
      <c r="AB7" s="259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75"/>
      <c r="BK7" s="277"/>
      <c r="BL7" s="277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65"/>
      <c r="B8" s="266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42" t="s">
        <v>29</v>
      </c>
      <c r="B9" s="342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57" t="s">
        <v>30</v>
      </c>
      <c r="B10" s="357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56" t="s">
        <v>31</v>
      </c>
      <c r="B11" s="356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56" t="s">
        <v>32</v>
      </c>
      <c r="B13" s="356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56" t="s">
        <v>80</v>
      </c>
      <c r="B14" s="356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56" t="s">
        <v>33</v>
      </c>
      <c r="B15" s="356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56" t="s">
        <v>35</v>
      </c>
      <c r="B16" s="356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56" t="s">
        <v>36</v>
      </c>
      <c r="B17" s="356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56" t="s">
        <v>37</v>
      </c>
      <c r="B18" s="356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56" t="s">
        <v>38</v>
      </c>
      <c r="B19" s="356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56" t="s">
        <v>39</v>
      </c>
      <c r="B20" s="356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56" t="s">
        <v>40</v>
      </c>
      <c r="B21" s="356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56" t="s">
        <v>41</v>
      </c>
      <c r="B22" s="356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56" t="s">
        <v>89</v>
      </c>
      <c r="B23" s="356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56" t="s">
        <v>90</v>
      </c>
      <c r="B24" s="356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56" t="s">
        <v>42</v>
      </c>
      <c r="B25" s="356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56" t="s">
        <v>43</v>
      </c>
      <c r="B26" s="356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57" t="s">
        <v>44</v>
      </c>
      <c r="B27" s="357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49" t="s">
        <v>94</v>
      </c>
      <c r="B28" s="349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49" t="s">
        <v>45</v>
      </c>
      <c r="B29" s="349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49" t="s">
        <v>91</v>
      </c>
      <c r="B30" s="349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49" t="s">
        <v>46</v>
      </c>
      <c r="B31" s="349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49" t="s">
        <v>92</v>
      </c>
      <c r="B32" s="349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49" t="s">
        <v>142</v>
      </c>
      <c r="B33" s="349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49" t="s">
        <v>118</v>
      </c>
      <c r="B34" s="349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49" t="s">
        <v>48</v>
      </c>
      <c r="B35" s="349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49" t="s">
        <v>93</v>
      </c>
      <c r="B36" s="349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42" t="s">
        <v>49</v>
      </c>
      <c r="B37" s="342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55" t="s">
        <v>100</v>
      </c>
      <c r="B38" s="355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46" t="s">
        <v>105</v>
      </c>
      <c r="B39" s="346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46" t="s">
        <v>99</v>
      </c>
      <c r="B40" s="346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46" t="s">
        <v>95</v>
      </c>
      <c r="B41" s="346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46" t="s">
        <v>98</v>
      </c>
      <c r="B42" s="346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54" t="s">
        <v>97</v>
      </c>
      <c r="B43" s="354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54" t="s">
        <v>101</v>
      </c>
      <c r="B44" s="354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54" t="s">
        <v>102</v>
      </c>
      <c r="B45" s="354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54" t="s">
        <v>103</v>
      </c>
      <c r="B46" s="354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54" t="s">
        <v>106</v>
      </c>
      <c r="B47" s="354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46" t="s">
        <v>132</v>
      </c>
      <c r="B48" s="346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46" t="s">
        <v>108</v>
      </c>
      <c r="B49" s="346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46" t="s">
        <v>110</v>
      </c>
      <c r="B50" s="346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46" t="s">
        <v>111</v>
      </c>
      <c r="B51" s="346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46" t="s">
        <v>112</v>
      </c>
      <c r="B52" s="346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46" t="s">
        <v>104</v>
      </c>
      <c r="B53" s="346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46" t="s">
        <v>107</v>
      </c>
      <c r="B54" s="346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46" t="s">
        <v>131</v>
      </c>
      <c r="B55" s="346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46" t="s">
        <v>109</v>
      </c>
      <c r="B56" s="346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46" t="s">
        <v>119</v>
      </c>
      <c r="B57" s="346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46" t="s">
        <v>120</v>
      </c>
      <c r="B58" s="346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46" t="s">
        <v>121</v>
      </c>
      <c r="B59" s="346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46" t="s">
        <v>122</v>
      </c>
      <c r="B60" s="346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46" t="s">
        <v>123</v>
      </c>
      <c r="B61" s="346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46" t="s">
        <v>124</v>
      </c>
      <c r="B62" s="346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46" t="s">
        <v>133</v>
      </c>
      <c r="B63" s="346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42" t="s">
        <v>50</v>
      </c>
      <c r="B74" s="342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45" t="s">
        <v>52</v>
      </c>
      <c r="B75" s="345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53" t="s">
        <v>127</v>
      </c>
      <c r="B76" s="353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42" t="s">
        <v>53</v>
      </c>
      <c r="B77" s="342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50" t="s">
        <v>54</v>
      </c>
      <c r="B78" s="350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49" t="s">
        <v>144</v>
      </c>
      <c r="B79" s="349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49" t="s">
        <v>145</v>
      </c>
      <c r="B80" s="349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50" t="s">
        <v>57</v>
      </c>
      <c r="B81" s="350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49" t="s">
        <v>144</v>
      </c>
      <c r="B82" s="349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49" t="s">
        <v>146</v>
      </c>
      <c r="B83" s="349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50" t="s">
        <v>58</v>
      </c>
      <c r="B84" s="350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49" t="s">
        <v>147</v>
      </c>
      <c r="B85" s="349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49" t="s">
        <v>148</v>
      </c>
      <c r="B86" s="349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50" t="s">
        <v>61</v>
      </c>
      <c r="B87" s="350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51" t="s">
        <v>167</v>
      </c>
      <c r="B88" s="351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52" t="s">
        <v>63</v>
      </c>
      <c r="B89" s="352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42" t="s">
        <v>136</v>
      </c>
      <c r="B90" s="342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48" t="s">
        <v>64</v>
      </c>
      <c r="B91" s="348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46" t="s">
        <v>38</v>
      </c>
      <c r="B92" s="346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49" t="s">
        <v>143</v>
      </c>
      <c r="B93" s="349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46" t="s">
        <v>65</v>
      </c>
      <c r="B94" s="346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47" t="s">
        <v>67</v>
      </c>
      <c r="B95" s="347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47" t="s">
        <v>34</v>
      </c>
      <c r="B96" s="347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47" t="s">
        <v>34</v>
      </c>
      <c r="B97" s="347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47" t="s">
        <v>34</v>
      </c>
      <c r="B98" s="347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47" t="s">
        <v>34</v>
      </c>
      <c r="B99" s="347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47" t="s">
        <v>34</v>
      </c>
      <c r="B100" s="347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48" t="s">
        <v>68</v>
      </c>
      <c r="B101" s="348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46">
        <v>243</v>
      </c>
      <c r="B102" s="346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46">
        <v>244</v>
      </c>
      <c r="B103" s="346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46">
        <v>414</v>
      </c>
      <c r="B104" s="346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46">
        <v>521</v>
      </c>
      <c r="B105" s="346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46">
        <v>831</v>
      </c>
      <c r="B106" s="346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46">
        <v>851</v>
      </c>
      <c r="B107" s="346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46">
        <v>853</v>
      </c>
      <c r="B108" s="346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46"/>
      <c r="B109" s="346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46"/>
      <c r="B110" s="346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46"/>
      <c r="B111" s="346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46"/>
      <c r="B112" s="346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26"/>
      <c r="B113" s="226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41" t="s">
        <v>153</v>
      </c>
      <c r="B114" s="341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30" t="s">
        <v>154</v>
      </c>
      <c r="B115" s="231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76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30" t="s">
        <v>155</v>
      </c>
      <c r="B116" s="231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76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30" t="s">
        <v>156</v>
      </c>
      <c r="B117" s="231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6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345" t="s">
        <v>73</v>
      </c>
      <c r="B118" s="345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 t="shared" ref="BL118:BL131" si="329"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50" customFormat="1" ht="33.75" customHeight="1">
      <c r="A119" s="217" t="s">
        <v>165</v>
      </c>
      <c r="B119" s="218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21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</row>
    <row r="120" spans="1:206" s="85" customFormat="1" ht="36.75" customHeight="1">
      <c r="A120" s="342" t="s">
        <v>160</v>
      </c>
      <c r="B120" s="342"/>
      <c r="C120" s="17"/>
      <c r="D120" s="130">
        <f>Z120</f>
        <v>0</v>
      </c>
      <c r="E120" s="17"/>
      <c r="F120" s="17"/>
      <c r="G120" s="17">
        <f t="shared" ref="G120:G131" si="330">F120-$C120</f>
        <v>0</v>
      </c>
      <c r="H120" s="17"/>
      <c r="I120" s="17">
        <f t="shared" ref="I120:I131" si="331">H120-$C120</f>
        <v>0</v>
      </c>
      <c r="J120" s="17"/>
      <c r="K120" s="17">
        <f t="shared" ref="K120:K131" si="332">J120-$C120</f>
        <v>0</v>
      </c>
      <c r="L120" s="17"/>
      <c r="M120" s="17">
        <f t="shared" ref="M120:M131" si="333">L120-$C120</f>
        <v>0</v>
      </c>
      <c r="N120" s="17"/>
      <c r="O120" s="17">
        <f t="shared" ref="O120:O131" si="334">N120-$C120</f>
        <v>0</v>
      </c>
      <c r="P120" s="17"/>
      <c r="Q120" s="17">
        <f t="shared" ref="Q120:Q131" si="335">P120-$C120</f>
        <v>0</v>
      </c>
      <c r="R120" s="17"/>
      <c r="S120" s="17">
        <f t="shared" ref="S120:S131" si="336">R120-$C120</f>
        <v>0</v>
      </c>
      <c r="T120" s="17"/>
      <c r="U120" s="17">
        <f t="shared" ref="U120:U131" si="337">T120-$C120</f>
        <v>0</v>
      </c>
      <c r="V120" s="17"/>
      <c r="W120" s="17">
        <f t="shared" ref="W120:W131" si="338">V120-$C120</f>
        <v>0</v>
      </c>
      <c r="X120" s="17"/>
      <c r="Y120" s="17">
        <f t="shared" ref="Y120:Y131" si="339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40">AD120-$D120</f>
        <v>0</v>
      </c>
      <c r="AF120" s="131" t="s">
        <v>51</v>
      </c>
      <c r="AG120" s="17"/>
      <c r="AH120" s="17">
        <f t="shared" ref="AH120:AH131" si="341">AG120-$D120</f>
        <v>0</v>
      </c>
      <c r="AI120" s="131" t="s">
        <v>51</v>
      </c>
      <c r="AJ120" s="17"/>
      <c r="AK120" s="17">
        <f t="shared" ref="AK120:AK131" si="342">AJ120-$D120</f>
        <v>0</v>
      </c>
      <c r="AL120" s="131" t="s">
        <v>51</v>
      </c>
      <c r="AM120" s="17"/>
      <c r="AN120" s="17">
        <f t="shared" ref="AN120:AN131" si="343">AM120-$D120</f>
        <v>0</v>
      </c>
      <c r="AO120" s="131" t="s">
        <v>51</v>
      </c>
      <c r="AP120" s="17"/>
      <c r="AQ120" s="17">
        <f t="shared" ref="AQ120:AQ131" si="344">AP120-$D120</f>
        <v>0</v>
      </c>
      <c r="AR120" s="131" t="s">
        <v>51</v>
      </c>
      <c r="AS120" s="17"/>
      <c r="AT120" s="17">
        <f t="shared" ref="AT120:AT131" si="345">AS120-$D120</f>
        <v>0</v>
      </c>
      <c r="AU120" s="131" t="s">
        <v>51</v>
      </c>
      <c r="AV120" s="17"/>
      <c r="AW120" s="17">
        <f t="shared" ref="AW120:AW131" si="346">AV120-$D120</f>
        <v>0</v>
      </c>
      <c r="AX120" s="131" t="s">
        <v>51</v>
      </c>
      <c r="AY120" s="17"/>
      <c r="AZ120" s="17">
        <f t="shared" ref="AZ120:AZ131" si="347">AY120-$D120</f>
        <v>0</v>
      </c>
      <c r="BA120" s="131" t="s">
        <v>51</v>
      </c>
      <c r="BB120" s="17"/>
      <c r="BC120" s="17">
        <f t="shared" ref="BC120:BC131" si="348">BB120-$D120</f>
        <v>0</v>
      </c>
      <c r="BD120" s="131" t="s">
        <v>51</v>
      </c>
      <c r="BE120" s="17"/>
      <c r="BF120" s="17">
        <f t="shared" ref="BF120:BF131" si="349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si="329"/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343" t="s">
        <v>75</v>
      </c>
      <c r="B121" s="343"/>
      <c r="C121" s="42"/>
      <c r="D121" s="161">
        <f t="shared" ref="D121:D131" si="350">Z121</f>
        <v>0</v>
      </c>
      <c r="E121" s="40"/>
      <c r="F121" s="40"/>
      <c r="G121" s="40">
        <f t="shared" si="330"/>
        <v>0</v>
      </c>
      <c r="H121" s="40"/>
      <c r="I121" s="40">
        <f t="shared" si="331"/>
        <v>0</v>
      </c>
      <c r="J121" s="40"/>
      <c r="K121" s="40">
        <f t="shared" si="332"/>
        <v>0</v>
      </c>
      <c r="L121" s="40"/>
      <c r="M121" s="40">
        <f t="shared" si="333"/>
        <v>0</v>
      </c>
      <c r="N121" s="40"/>
      <c r="O121" s="40">
        <f t="shared" si="334"/>
        <v>0</v>
      </c>
      <c r="P121" s="40"/>
      <c r="Q121" s="40">
        <f t="shared" si="335"/>
        <v>0</v>
      </c>
      <c r="R121" s="40"/>
      <c r="S121" s="40">
        <f t="shared" si="336"/>
        <v>0</v>
      </c>
      <c r="T121" s="40"/>
      <c r="U121" s="40">
        <f t="shared" si="337"/>
        <v>0</v>
      </c>
      <c r="V121" s="40"/>
      <c r="W121" s="40">
        <f t="shared" si="338"/>
        <v>0</v>
      </c>
      <c r="X121" s="40"/>
      <c r="Y121" s="40">
        <f t="shared" si="339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40"/>
        <v>0</v>
      </c>
      <c r="AF121" s="162" t="s">
        <v>51</v>
      </c>
      <c r="AG121" s="42"/>
      <c r="AH121" s="42">
        <f t="shared" si="341"/>
        <v>0</v>
      </c>
      <c r="AI121" s="162" t="s">
        <v>51</v>
      </c>
      <c r="AJ121" s="42"/>
      <c r="AK121" s="42">
        <f t="shared" si="342"/>
        <v>0</v>
      </c>
      <c r="AL121" s="162" t="s">
        <v>51</v>
      </c>
      <c r="AM121" s="42"/>
      <c r="AN121" s="42">
        <f t="shared" si="343"/>
        <v>0</v>
      </c>
      <c r="AO121" s="162" t="s">
        <v>51</v>
      </c>
      <c r="AP121" s="42"/>
      <c r="AQ121" s="42">
        <f t="shared" si="344"/>
        <v>0</v>
      </c>
      <c r="AR121" s="162" t="s">
        <v>51</v>
      </c>
      <c r="AS121" s="42"/>
      <c r="AT121" s="42">
        <f t="shared" si="345"/>
        <v>0</v>
      </c>
      <c r="AU121" s="162" t="s">
        <v>51</v>
      </c>
      <c r="AV121" s="42"/>
      <c r="AW121" s="42">
        <f t="shared" si="346"/>
        <v>0</v>
      </c>
      <c r="AX121" s="162" t="s">
        <v>51</v>
      </c>
      <c r="AY121" s="42"/>
      <c r="AZ121" s="42">
        <f t="shared" si="347"/>
        <v>0</v>
      </c>
      <c r="BA121" s="162" t="s">
        <v>51</v>
      </c>
      <c r="BB121" s="42"/>
      <c r="BC121" s="42">
        <f t="shared" si="348"/>
        <v>0</v>
      </c>
      <c r="BD121" s="162" t="s">
        <v>51</v>
      </c>
      <c r="BE121" s="42"/>
      <c r="BF121" s="42">
        <f t="shared" si="349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29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343" t="s">
        <v>76</v>
      </c>
      <c r="B122" s="343"/>
      <c r="C122" s="42"/>
      <c r="D122" s="161">
        <f t="shared" si="350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40"/>
        <v>0</v>
      </c>
      <c r="AF122" s="162" t="s">
        <v>51</v>
      </c>
      <c r="AG122" s="42"/>
      <c r="AH122" s="42">
        <f t="shared" si="341"/>
        <v>0</v>
      </c>
      <c r="AI122" s="162" t="s">
        <v>51</v>
      </c>
      <c r="AJ122" s="42"/>
      <c r="AK122" s="42">
        <f t="shared" si="342"/>
        <v>0</v>
      </c>
      <c r="AL122" s="162" t="s">
        <v>51</v>
      </c>
      <c r="AM122" s="42"/>
      <c r="AN122" s="42">
        <f t="shared" si="343"/>
        <v>0</v>
      </c>
      <c r="AO122" s="162" t="s">
        <v>51</v>
      </c>
      <c r="AP122" s="42"/>
      <c r="AQ122" s="42">
        <f t="shared" si="344"/>
        <v>0</v>
      </c>
      <c r="AR122" s="162" t="s">
        <v>51</v>
      </c>
      <c r="AS122" s="42"/>
      <c r="AT122" s="42">
        <f t="shared" si="345"/>
        <v>0</v>
      </c>
      <c r="AU122" s="162" t="s">
        <v>51</v>
      </c>
      <c r="AV122" s="42"/>
      <c r="AW122" s="42">
        <f t="shared" si="346"/>
        <v>0</v>
      </c>
      <c r="AX122" s="162" t="s">
        <v>51</v>
      </c>
      <c r="AY122" s="42"/>
      <c r="AZ122" s="42">
        <f t="shared" si="347"/>
        <v>0</v>
      </c>
      <c r="BA122" s="162" t="s">
        <v>51</v>
      </c>
      <c r="BB122" s="42"/>
      <c r="BC122" s="42">
        <f t="shared" si="348"/>
        <v>0</v>
      </c>
      <c r="BD122" s="162" t="s">
        <v>51</v>
      </c>
      <c r="BE122" s="42"/>
      <c r="BF122" s="42">
        <f t="shared" si="349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29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43" t="s">
        <v>129</v>
      </c>
      <c r="B123" s="343"/>
      <c r="C123" s="42"/>
      <c r="D123" s="138">
        <f t="shared" si="350"/>
        <v>0</v>
      </c>
      <c r="E123" s="30"/>
      <c r="F123" s="30"/>
      <c r="G123" s="30">
        <f t="shared" si="330"/>
        <v>0</v>
      </c>
      <c r="H123" s="30"/>
      <c r="I123" s="30">
        <f t="shared" si="331"/>
        <v>0</v>
      </c>
      <c r="J123" s="30"/>
      <c r="K123" s="30">
        <f t="shared" si="332"/>
        <v>0</v>
      </c>
      <c r="L123" s="30"/>
      <c r="M123" s="30">
        <f t="shared" si="333"/>
        <v>0</v>
      </c>
      <c r="N123" s="30"/>
      <c r="O123" s="30">
        <f t="shared" si="334"/>
        <v>0</v>
      </c>
      <c r="P123" s="30"/>
      <c r="Q123" s="30">
        <f t="shared" si="335"/>
        <v>0</v>
      </c>
      <c r="R123" s="30"/>
      <c r="S123" s="30">
        <f t="shared" si="336"/>
        <v>0</v>
      </c>
      <c r="T123" s="30"/>
      <c r="U123" s="30">
        <f t="shared" si="337"/>
        <v>0</v>
      </c>
      <c r="V123" s="30"/>
      <c r="W123" s="30">
        <f t="shared" si="338"/>
        <v>0</v>
      </c>
      <c r="X123" s="40"/>
      <c r="Y123" s="30">
        <f t="shared" si="339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40"/>
        <v>0</v>
      </c>
      <c r="AF123" s="162" t="s">
        <v>51</v>
      </c>
      <c r="AG123" s="29"/>
      <c r="AH123" s="29">
        <f t="shared" si="341"/>
        <v>0</v>
      </c>
      <c r="AI123" s="162" t="s">
        <v>51</v>
      </c>
      <c r="AJ123" s="29"/>
      <c r="AK123" s="29">
        <f t="shared" si="342"/>
        <v>0</v>
      </c>
      <c r="AL123" s="162" t="s">
        <v>51</v>
      </c>
      <c r="AM123" s="29"/>
      <c r="AN123" s="29">
        <f t="shared" si="343"/>
        <v>0</v>
      </c>
      <c r="AO123" s="162" t="s">
        <v>51</v>
      </c>
      <c r="AP123" s="29"/>
      <c r="AQ123" s="29">
        <f t="shared" si="344"/>
        <v>0</v>
      </c>
      <c r="AR123" s="162" t="s">
        <v>51</v>
      </c>
      <c r="AS123" s="29"/>
      <c r="AT123" s="29">
        <f t="shared" si="345"/>
        <v>0</v>
      </c>
      <c r="AU123" s="162" t="s">
        <v>51</v>
      </c>
      <c r="AV123" s="29"/>
      <c r="AW123" s="29">
        <f t="shared" si="346"/>
        <v>0</v>
      </c>
      <c r="AX123" s="162" t="s">
        <v>51</v>
      </c>
      <c r="AY123" s="29"/>
      <c r="AZ123" s="29">
        <f t="shared" si="347"/>
        <v>0</v>
      </c>
      <c r="BA123" s="162" t="s">
        <v>51</v>
      </c>
      <c r="BB123" s="29"/>
      <c r="BC123" s="29">
        <f t="shared" si="348"/>
        <v>0</v>
      </c>
      <c r="BD123" s="162" t="s">
        <v>51</v>
      </c>
      <c r="BE123" s="29"/>
      <c r="BF123" s="29">
        <f t="shared" si="349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29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342" t="s">
        <v>161</v>
      </c>
      <c r="B124" s="342"/>
      <c r="C124" s="17"/>
      <c r="D124" s="130">
        <f t="shared" si="350"/>
        <v>0</v>
      </c>
      <c r="E124" s="17"/>
      <c r="F124" s="17"/>
      <c r="G124" s="17">
        <f t="shared" si="330"/>
        <v>0</v>
      </c>
      <c r="H124" s="17"/>
      <c r="I124" s="17">
        <f t="shared" si="331"/>
        <v>0</v>
      </c>
      <c r="J124" s="17"/>
      <c r="K124" s="17">
        <f t="shared" si="332"/>
        <v>0</v>
      </c>
      <c r="L124" s="17"/>
      <c r="M124" s="17">
        <f t="shared" si="333"/>
        <v>0</v>
      </c>
      <c r="N124" s="17"/>
      <c r="O124" s="17">
        <f t="shared" si="334"/>
        <v>0</v>
      </c>
      <c r="P124" s="17"/>
      <c r="Q124" s="17">
        <f t="shared" si="335"/>
        <v>0</v>
      </c>
      <c r="R124" s="17"/>
      <c r="S124" s="17">
        <f t="shared" si="336"/>
        <v>0</v>
      </c>
      <c r="T124" s="17"/>
      <c r="U124" s="17">
        <f t="shared" si="337"/>
        <v>0</v>
      </c>
      <c r="V124" s="17"/>
      <c r="W124" s="17">
        <f t="shared" si="338"/>
        <v>0</v>
      </c>
      <c r="X124" s="17"/>
      <c r="Y124" s="17">
        <f t="shared" si="339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40"/>
        <v>0</v>
      </c>
      <c r="AF124" s="143" t="s">
        <v>51</v>
      </c>
      <c r="AG124" s="17"/>
      <c r="AH124" s="17">
        <f t="shared" si="341"/>
        <v>0</v>
      </c>
      <c r="AI124" s="143" t="s">
        <v>51</v>
      </c>
      <c r="AJ124" s="17"/>
      <c r="AK124" s="17">
        <f t="shared" si="342"/>
        <v>0</v>
      </c>
      <c r="AL124" s="143" t="s">
        <v>51</v>
      </c>
      <c r="AM124" s="17"/>
      <c r="AN124" s="17">
        <f t="shared" si="343"/>
        <v>0</v>
      </c>
      <c r="AO124" s="143" t="s">
        <v>51</v>
      </c>
      <c r="AP124" s="17"/>
      <c r="AQ124" s="17">
        <f t="shared" si="344"/>
        <v>0</v>
      </c>
      <c r="AR124" s="143" t="s">
        <v>51</v>
      </c>
      <c r="AS124" s="17"/>
      <c r="AT124" s="17">
        <f t="shared" si="345"/>
        <v>0</v>
      </c>
      <c r="AU124" s="143" t="s">
        <v>51</v>
      </c>
      <c r="AV124" s="17"/>
      <c r="AW124" s="17">
        <f t="shared" si="346"/>
        <v>0</v>
      </c>
      <c r="AX124" s="143" t="s">
        <v>51</v>
      </c>
      <c r="AY124" s="17"/>
      <c r="AZ124" s="17">
        <f t="shared" si="347"/>
        <v>0</v>
      </c>
      <c r="BA124" s="143" t="s">
        <v>51</v>
      </c>
      <c r="BB124" s="17"/>
      <c r="BC124" s="17">
        <f t="shared" si="348"/>
        <v>0</v>
      </c>
      <c r="BD124" s="143" t="s">
        <v>51</v>
      </c>
      <c r="BE124" s="17"/>
      <c r="BF124" s="17">
        <f t="shared" si="349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29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343" t="s">
        <v>75</v>
      </c>
      <c r="B125" s="343"/>
      <c r="C125" s="42"/>
      <c r="D125" s="161">
        <f t="shared" si="350"/>
        <v>0</v>
      </c>
      <c r="E125" s="40"/>
      <c r="F125" s="40"/>
      <c r="G125" s="40">
        <f t="shared" si="330"/>
        <v>0</v>
      </c>
      <c r="H125" s="40"/>
      <c r="I125" s="40">
        <f t="shared" si="331"/>
        <v>0</v>
      </c>
      <c r="J125" s="40"/>
      <c r="K125" s="40">
        <f t="shared" si="332"/>
        <v>0</v>
      </c>
      <c r="L125" s="40"/>
      <c r="M125" s="40">
        <f t="shared" si="333"/>
        <v>0</v>
      </c>
      <c r="N125" s="40"/>
      <c r="O125" s="40">
        <f t="shared" si="334"/>
        <v>0</v>
      </c>
      <c r="P125" s="40"/>
      <c r="Q125" s="40">
        <f t="shared" si="335"/>
        <v>0</v>
      </c>
      <c r="R125" s="40"/>
      <c r="S125" s="40">
        <f t="shared" si="336"/>
        <v>0</v>
      </c>
      <c r="T125" s="40"/>
      <c r="U125" s="40">
        <f t="shared" si="337"/>
        <v>0</v>
      </c>
      <c r="V125" s="40"/>
      <c r="W125" s="40">
        <f t="shared" si="338"/>
        <v>0</v>
      </c>
      <c r="X125" s="40"/>
      <c r="Y125" s="40">
        <f t="shared" si="339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40"/>
        <v>0</v>
      </c>
      <c r="AF125" s="162" t="s">
        <v>51</v>
      </c>
      <c r="AG125" s="40"/>
      <c r="AH125" s="40">
        <f t="shared" si="341"/>
        <v>0</v>
      </c>
      <c r="AI125" s="162" t="s">
        <v>51</v>
      </c>
      <c r="AJ125" s="40"/>
      <c r="AK125" s="40">
        <f t="shared" si="342"/>
        <v>0</v>
      </c>
      <c r="AL125" s="162" t="s">
        <v>51</v>
      </c>
      <c r="AM125" s="40"/>
      <c r="AN125" s="40">
        <f t="shared" si="343"/>
        <v>0</v>
      </c>
      <c r="AO125" s="162" t="s">
        <v>51</v>
      </c>
      <c r="AP125" s="40"/>
      <c r="AQ125" s="40">
        <f t="shared" si="344"/>
        <v>0</v>
      </c>
      <c r="AR125" s="162" t="s">
        <v>51</v>
      </c>
      <c r="AS125" s="40"/>
      <c r="AT125" s="40">
        <f t="shared" si="345"/>
        <v>0</v>
      </c>
      <c r="AU125" s="162" t="s">
        <v>51</v>
      </c>
      <c r="AV125" s="40"/>
      <c r="AW125" s="40">
        <f t="shared" si="346"/>
        <v>0</v>
      </c>
      <c r="AX125" s="162" t="s">
        <v>51</v>
      </c>
      <c r="AY125" s="40"/>
      <c r="AZ125" s="40">
        <f t="shared" si="347"/>
        <v>0</v>
      </c>
      <c r="BA125" s="162" t="s">
        <v>51</v>
      </c>
      <c r="BB125" s="40"/>
      <c r="BC125" s="40">
        <f t="shared" si="348"/>
        <v>0</v>
      </c>
      <c r="BD125" s="162" t="s">
        <v>51</v>
      </c>
      <c r="BE125" s="40"/>
      <c r="BF125" s="40">
        <f t="shared" si="349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29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343" t="s">
        <v>76</v>
      </c>
      <c r="B126" s="343"/>
      <c r="C126" s="42"/>
      <c r="D126" s="161">
        <f t="shared" si="350"/>
        <v>0</v>
      </c>
      <c r="E126" s="40"/>
      <c r="F126" s="40"/>
      <c r="G126" s="40">
        <f t="shared" si="330"/>
        <v>0</v>
      </c>
      <c r="H126" s="40"/>
      <c r="I126" s="40">
        <f t="shared" si="331"/>
        <v>0</v>
      </c>
      <c r="J126" s="40"/>
      <c r="K126" s="40">
        <f t="shared" si="332"/>
        <v>0</v>
      </c>
      <c r="L126" s="40"/>
      <c r="M126" s="40">
        <f t="shared" si="333"/>
        <v>0</v>
      </c>
      <c r="N126" s="40"/>
      <c r="O126" s="40">
        <f t="shared" si="334"/>
        <v>0</v>
      </c>
      <c r="P126" s="40"/>
      <c r="Q126" s="40">
        <f t="shared" si="335"/>
        <v>0</v>
      </c>
      <c r="R126" s="40"/>
      <c r="S126" s="40">
        <f t="shared" si="336"/>
        <v>0</v>
      </c>
      <c r="T126" s="40"/>
      <c r="U126" s="40">
        <f t="shared" si="337"/>
        <v>0</v>
      </c>
      <c r="V126" s="40"/>
      <c r="W126" s="40">
        <f t="shared" si="338"/>
        <v>0</v>
      </c>
      <c r="X126" s="40"/>
      <c r="Y126" s="40">
        <f t="shared" si="339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40"/>
        <v>0</v>
      </c>
      <c r="AF126" s="162" t="s">
        <v>51</v>
      </c>
      <c r="AG126" s="40"/>
      <c r="AH126" s="40">
        <f t="shared" si="341"/>
        <v>0</v>
      </c>
      <c r="AI126" s="162" t="s">
        <v>51</v>
      </c>
      <c r="AJ126" s="40"/>
      <c r="AK126" s="40">
        <f t="shared" si="342"/>
        <v>0</v>
      </c>
      <c r="AL126" s="162" t="s">
        <v>51</v>
      </c>
      <c r="AM126" s="40"/>
      <c r="AN126" s="40">
        <f t="shared" si="343"/>
        <v>0</v>
      </c>
      <c r="AO126" s="162" t="s">
        <v>51</v>
      </c>
      <c r="AP126" s="40"/>
      <c r="AQ126" s="40">
        <f t="shared" si="344"/>
        <v>0</v>
      </c>
      <c r="AR126" s="162" t="s">
        <v>51</v>
      </c>
      <c r="AS126" s="40"/>
      <c r="AT126" s="40">
        <f t="shared" si="345"/>
        <v>0</v>
      </c>
      <c r="AU126" s="162" t="s">
        <v>51</v>
      </c>
      <c r="AV126" s="40"/>
      <c r="AW126" s="40">
        <f t="shared" si="346"/>
        <v>0</v>
      </c>
      <c r="AX126" s="162" t="s">
        <v>51</v>
      </c>
      <c r="AY126" s="40"/>
      <c r="AZ126" s="40">
        <f t="shared" si="347"/>
        <v>0</v>
      </c>
      <c r="BA126" s="162" t="s">
        <v>51</v>
      </c>
      <c r="BB126" s="40"/>
      <c r="BC126" s="40">
        <f t="shared" si="348"/>
        <v>0</v>
      </c>
      <c r="BD126" s="162" t="s">
        <v>51</v>
      </c>
      <c r="BE126" s="40"/>
      <c r="BF126" s="40">
        <f t="shared" si="349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29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343" t="s">
        <v>129</v>
      </c>
      <c r="B127" s="343"/>
      <c r="C127" s="42"/>
      <c r="D127" s="138">
        <f t="shared" si="350"/>
        <v>0</v>
      </c>
      <c r="E127" s="30"/>
      <c r="F127" s="30"/>
      <c r="G127" s="30">
        <f t="shared" si="330"/>
        <v>0</v>
      </c>
      <c r="H127" s="30"/>
      <c r="I127" s="30">
        <f t="shared" si="331"/>
        <v>0</v>
      </c>
      <c r="J127" s="30"/>
      <c r="K127" s="30">
        <f t="shared" si="332"/>
        <v>0</v>
      </c>
      <c r="L127" s="30"/>
      <c r="M127" s="30">
        <f t="shared" si="333"/>
        <v>0</v>
      </c>
      <c r="N127" s="30"/>
      <c r="O127" s="30">
        <f t="shared" si="334"/>
        <v>0</v>
      </c>
      <c r="P127" s="30"/>
      <c r="Q127" s="30">
        <f t="shared" si="335"/>
        <v>0</v>
      </c>
      <c r="R127" s="30"/>
      <c r="S127" s="30">
        <f t="shared" si="336"/>
        <v>0</v>
      </c>
      <c r="T127" s="30"/>
      <c r="U127" s="30">
        <f t="shared" si="337"/>
        <v>0</v>
      </c>
      <c r="V127" s="30"/>
      <c r="W127" s="30">
        <f t="shared" si="338"/>
        <v>0</v>
      </c>
      <c r="X127" s="30"/>
      <c r="Y127" s="30">
        <f t="shared" si="339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40"/>
        <v>0</v>
      </c>
      <c r="AF127" s="162" t="s">
        <v>51</v>
      </c>
      <c r="AG127" s="30"/>
      <c r="AH127" s="30">
        <f t="shared" si="341"/>
        <v>0</v>
      </c>
      <c r="AI127" s="162" t="s">
        <v>51</v>
      </c>
      <c r="AJ127" s="30"/>
      <c r="AK127" s="30">
        <f t="shared" si="342"/>
        <v>0</v>
      </c>
      <c r="AL127" s="162" t="s">
        <v>51</v>
      </c>
      <c r="AM127" s="30"/>
      <c r="AN127" s="30">
        <f t="shared" si="343"/>
        <v>0</v>
      </c>
      <c r="AO127" s="162" t="s">
        <v>51</v>
      </c>
      <c r="AP127" s="30"/>
      <c r="AQ127" s="30">
        <f t="shared" si="344"/>
        <v>0</v>
      </c>
      <c r="AR127" s="162" t="s">
        <v>51</v>
      </c>
      <c r="AS127" s="30"/>
      <c r="AT127" s="30">
        <f t="shared" si="345"/>
        <v>0</v>
      </c>
      <c r="AU127" s="162" t="s">
        <v>51</v>
      </c>
      <c r="AV127" s="30"/>
      <c r="AW127" s="30">
        <f t="shared" si="346"/>
        <v>0</v>
      </c>
      <c r="AX127" s="162" t="s">
        <v>51</v>
      </c>
      <c r="AY127" s="30"/>
      <c r="AZ127" s="30">
        <f t="shared" si="347"/>
        <v>0</v>
      </c>
      <c r="BA127" s="162" t="s">
        <v>51</v>
      </c>
      <c r="BB127" s="30"/>
      <c r="BC127" s="30">
        <f t="shared" si="348"/>
        <v>0</v>
      </c>
      <c r="BD127" s="162" t="s">
        <v>51</v>
      </c>
      <c r="BE127" s="30"/>
      <c r="BF127" s="30">
        <f t="shared" si="349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29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342" t="s">
        <v>162</v>
      </c>
      <c r="B128" s="342"/>
      <c r="C128" s="17"/>
      <c r="D128" s="130">
        <f t="shared" si="350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 t="s">
        <v>51</v>
      </c>
      <c r="AG128" s="17"/>
      <c r="AH128" s="17">
        <f t="shared" si="341"/>
        <v>0</v>
      </c>
      <c r="AI128" s="143" t="s">
        <v>51</v>
      </c>
      <c r="AJ128" s="17"/>
      <c r="AK128" s="17">
        <f t="shared" si="342"/>
        <v>0</v>
      </c>
      <c r="AL128" s="143" t="s">
        <v>51</v>
      </c>
      <c r="AM128" s="17"/>
      <c r="AN128" s="17">
        <f t="shared" si="343"/>
        <v>0</v>
      </c>
      <c r="AO128" s="143" t="s">
        <v>51</v>
      </c>
      <c r="AP128" s="17"/>
      <c r="AQ128" s="17">
        <f t="shared" si="344"/>
        <v>0</v>
      </c>
      <c r="AR128" s="143" t="s">
        <v>51</v>
      </c>
      <c r="AS128" s="17"/>
      <c r="AT128" s="17">
        <f t="shared" si="345"/>
        <v>0</v>
      </c>
      <c r="AU128" s="143" t="s">
        <v>51</v>
      </c>
      <c r="AV128" s="17"/>
      <c r="AW128" s="17">
        <f t="shared" si="346"/>
        <v>0</v>
      </c>
      <c r="AX128" s="143" t="s">
        <v>51</v>
      </c>
      <c r="AY128" s="17"/>
      <c r="AZ128" s="17">
        <f t="shared" si="347"/>
        <v>0</v>
      </c>
      <c r="BA128" s="143" t="s">
        <v>51</v>
      </c>
      <c r="BB128" s="17"/>
      <c r="BC128" s="17">
        <f t="shared" si="348"/>
        <v>0</v>
      </c>
      <c r="BD128" s="143" t="s">
        <v>51</v>
      </c>
      <c r="BE128" s="17"/>
      <c r="BF128" s="17">
        <f t="shared" si="349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29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344" t="s">
        <v>78</v>
      </c>
      <c r="B129" s="344"/>
      <c r="C129" s="30"/>
      <c r="D129" s="137">
        <f t="shared" si="350"/>
        <v>0</v>
      </c>
      <c r="E129" s="29"/>
      <c r="F129" s="29"/>
      <c r="G129" s="29">
        <f t="shared" si="330"/>
        <v>0</v>
      </c>
      <c r="H129" s="29"/>
      <c r="I129" s="29">
        <f t="shared" si="331"/>
        <v>0</v>
      </c>
      <c r="J129" s="29"/>
      <c r="K129" s="29">
        <f t="shared" si="332"/>
        <v>0</v>
      </c>
      <c r="L129" s="29"/>
      <c r="M129" s="29">
        <f t="shared" si="333"/>
        <v>0</v>
      </c>
      <c r="N129" s="29"/>
      <c r="O129" s="29">
        <f t="shared" si="334"/>
        <v>0</v>
      </c>
      <c r="P129" s="29"/>
      <c r="Q129" s="29">
        <f t="shared" si="335"/>
        <v>0</v>
      </c>
      <c r="R129" s="29"/>
      <c r="S129" s="29">
        <f t="shared" si="336"/>
        <v>0</v>
      </c>
      <c r="T129" s="29"/>
      <c r="U129" s="29">
        <f t="shared" si="337"/>
        <v>0</v>
      </c>
      <c r="V129" s="29"/>
      <c r="W129" s="29">
        <f t="shared" si="338"/>
        <v>0</v>
      </c>
      <c r="X129" s="29"/>
      <c r="Y129" s="29">
        <f t="shared" si="339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40"/>
        <v>0</v>
      </c>
      <c r="AF129" s="162" t="s">
        <v>51</v>
      </c>
      <c r="AG129" s="29"/>
      <c r="AH129" s="29">
        <f t="shared" si="341"/>
        <v>0</v>
      </c>
      <c r="AI129" s="162" t="s">
        <v>51</v>
      </c>
      <c r="AJ129" s="29"/>
      <c r="AK129" s="29">
        <f t="shared" si="342"/>
        <v>0</v>
      </c>
      <c r="AL129" s="162" t="s">
        <v>51</v>
      </c>
      <c r="AM129" s="29"/>
      <c r="AN129" s="29">
        <f t="shared" si="343"/>
        <v>0</v>
      </c>
      <c r="AO129" s="162" t="s">
        <v>51</v>
      </c>
      <c r="AP129" s="29"/>
      <c r="AQ129" s="29">
        <f t="shared" si="344"/>
        <v>0</v>
      </c>
      <c r="AR129" s="162" t="s">
        <v>51</v>
      </c>
      <c r="AS129" s="29"/>
      <c r="AT129" s="29">
        <f t="shared" si="345"/>
        <v>0</v>
      </c>
      <c r="AU129" s="162" t="s">
        <v>51</v>
      </c>
      <c r="AV129" s="29"/>
      <c r="AW129" s="29">
        <f t="shared" si="346"/>
        <v>0</v>
      </c>
      <c r="AX129" s="162" t="s">
        <v>51</v>
      </c>
      <c r="AY129" s="29"/>
      <c r="AZ129" s="29">
        <f t="shared" si="347"/>
        <v>0</v>
      </c>
      <c r="BA129" s="162" t="s">
        <v>51</v>
      </c>
      <c r="BB129" s="29"/>
      <c r="BC129" s="29">
        <f t="shared" si="348"/>
        <v>0</v>
      </c>
      <c r="BD129" s="162" t="s">
        <v>51</v>
      </c>
      <c r="BE129" s="29"/>
      <c r="BF129" s="29">
        <f t="shared" si="349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29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342" t="s">
        <v>163</v>
      </c>
      <c r="B130" s="342"/>
      <c r="C130" s="17"/>
      <c r="D130" s="130">
        <f t="shared" si="350"/>
        <v>0</v>
      </c>
      <c r="E130" s="17"/>
      <c r="F130" s="17"/>
      <c r="G130" s="17">
        <f t="shared" si="330"/>
        <v>0</v>
      </c>
      <c r="H130" s="17"/>
      <c r="I130" s="17">
        <f t="shared" si="331"/>
        <v>0</v>
      </c>
      <c r="J130" s="17"/>
      <c r="K130" s="17">
        <f t="shared" si="332"/>
        <v>0</v>
      </c>
      <c r="L130" s="17"/>
      <c r="M130" s="17">
        <f t="shared" si="333"/>
        <v>0</v>
      </c>
      <c r="N130" s="17"/>
      <c r="O130" s="17">
        <f t="shared" si="334"/>
        <v>0</v>
      </c>
      <c r="P130" s="17"/>
      <c r="Q130" s="17">
        <f t="shared" si="335"/>
        <v>0</v>
      </c>
      <c r="R130" s="17"/>
      <c r="S130" s="17">
        <f t="shared" si="336"/>
        <v>0</v>
      </c>
      <c r="T130" s="17"/>
      <c r="U130" s="17">
        <f t="shared" si="337"/>
        <v>0</v>
      </c>
      <c r="V130" s="17"/>
      <c r="W130" s="17">
        <f t="shared" si="338"/>
        <v>0</v>
      </c>
      <c r="X130" s="17"/>
      <c r="Y130" s="17">
        <f t="shared" si="339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40"/>
        <v>0</v>
      </c>
      <c r="AF130" s="143" t="s">
        <v>51</v>
      </c>
      <c r="AG130" s="17"/>
      <c r="AH130" s="17">
        <f t="shared" si="341"/>
        <v>0</v>
      </c>
      <c r="AI130" s="143" t="s">
        <v>51</v>
      </c>
      <c r="AJ130" s="17"/>
      <c r="AK130" s="17">
        <f t="shared" si="342"/>
        <v>0</v>
      </c>
      <c r="AL130" s="143" t="s">
        <v>51</v>
      </c>
      <c r="AM130" s="17"/>
      <c r="AN130" s="17">
        <f t="shared" si="343"/>
        <v>0</v>
      </c>
      <c r="AO130" s="143" t="s">
        <v>51</v>
      </c>
      <c r="AP130" s="17"/>
      <c r="AQ130" s="17">
        <f t="shared" si="344"/>
        <v>0</v>
      </c>
      <c r="AR130" s="143" t="s">
        <v>51</v>
      </c>
      <c r="AS130" s="17"/>
      <c r="AT130" s="17">
        <f t="shared" si="345"/>
        <v>0</v>
      </c>
      <c r="AU130" s="143" t="s">
        <v>51</v>
      </c>
      <c r="AV130" s="17"/>
      <c r="AW130" s="17">
        <f t="shared" si="346"/>
        <v>0</v>
      </c>
      <c r="AX130" s="143" t="s">
        <v>51</v>
      </c>
      <c r="AY130" s="17"/>
      <c r="AZ130" s="17">
        <f t="shared" si="347"/>
        <v>0</v>
      </c>
      <c r="BA130" s="143" t="s">
        <v>51</v>
      </c>
      <c r="BB130" s="17"/>
      <c r="BC130" s="17">
        <f t="shared" si="348"/>
        <v>0</v>
      </c>
      <c r="BD130" s="143" t="s">
        <v>51</v>
      </c>
      <c r="BE130" s="17"/>
      <c r="BF130" s="17">
        <f t="shared" si="349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29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342" t="s">
        <v>164</v>
      </c>
      <c r="B131" s="342"/>
      <c r="C131" s="17"/>
      <c r="D131" s="130">
        <f t="shared" si="350"/>
        <v>0</v>
      </c>
      <c r="E131" s="17"/>
      <c r="F131" s="17"/>
      <c r="G131" s="17">
        <f t="shared" si="330"/>
        <v>0</v>
      </c>
      <c r="H131" s="17"/>
      <c r="I131" s="17">
        <f t="shared" si="331"/>
        <v>0</v>
      </c>
      <c r="J131" s="17"/>
      <c r="K131" s="17">
        <f t="shared" si="332"/>
        <v>0</v>
      </c>
      <c r="L131" s="17"/>
      <c r="M131" s="17">
        <f t="shared" si="333"/>
        <v>0</v>
      </c>
      <c r="N131" s="17"/>
      <c r="O131" s="17">
        <f t="shared" si="334"/>
        <v>0</v>
      </c>
      <c r="P131" s="17"/>
      <c r="Q131" s="17">
        <f t="shared" si="335"/>
        <v>0</v>
      </c>
      <c r="R131" s="17"/>
      <c r="S131" s="17">
        <f t="shared" si="336"/>
        <v>0</v>
      </c>
      <c r="T131" s="17"/>
      <c r="U131" s="17">
        <f t="shared" si="337"/>
        <v>0</v>
      </c>
      <c r="V131" s="17"/>
      <c r="W131" s="17">
        <f t="shared" si="338"/>
        <v>0</v>
      </c>
      <c r="X131" s="17"/>
      <c r="Y131" s="17">
        <f t="shared" si="339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40"/>
        <v>0</v>
      </c>
      <c r="AF131" s="143">
        <f>IF(G131=0,1,AE131/G131-1)</f>
        <v>1</v>
      </c>
      <c r="AG131" s="17"/>
      <c r="AH131" s="17">
        <f t="shared" si="341"/>
        <v>0</v>
      </c>
      <c r="AI131" s="143">
        <f>IF(I131=0,1,AH131/I131-1)</f>
        <v>1</v>
      </c>
      <c r="AJ131" s="17"/>
      <c r="AK131" s="17">
        <f t="shared" si="342"/>
        <v>0</v>
      </c>
      <c r="AL131" s="143">
        <f>IF(K131=0,1,AK131/K131-1)</f>
        <v>1</v>
      </c>
      <c r="AM131" s="17"/>
      <c r="AN131" s="17">
        <f t="shared" si="343"/>
        <v>0</v>
      </c>
      <c r="AO131" s="143">
        <f>IF(M131=0,1,AN131/M131-1)</f>
        <v>1</v>
      </c>
      <c r="AP131" s="17"/>
      <c r="AQ131" s="17">
        <f t="shared" si="344"/>
        <v>0</v>
      </c>
      <c r="AR131" s="143">
        <f>IF(O131=0,1,AQ131/O131-1)</f>
        <v>1</v>
      </c>
      <c r="AS131" s="17"/>
      <c r="AT131" s="17">
        <f t="shared" si="345"/>
        <v>0</v>
      </c>
      <c r="AU131" s="143">
        <f>IF(Q131=0,1,AT131/Q131-1)</f>
        <v>1</v>
      </c>
      <c r="AV131" s="17"/>
      <c r="AW131" s="17">
        <f t="shared" si="346"/>
        <v>0</v>
      </c>
      <c r="AX131" s="143">
        <f>IF(S131=0,1,AW131/S131-1)</f>
        <v>1</v>
      </c>
      <c r="AY131" s="17"/>
      <c r="AZ131" s="17">
        <f t="shared" si="347"/>
        <v>0</v>
      </c>
      <c r="BA131" s="143">
        <f>IF(U131=0,1,AZ131/U131-1)</f>
        <v>1</v>
      </c>
      <c r="BB131" s="17"/>
      <c r="BC131" s="17">
        <f t="shared" si="348"/>
        <v>0</v>
      </c>
      <c r="BD131" s="143">
        <f>IF(W131=0,1,BC131/W131-1)</f>
        <v>1</v>
      </c>
      <c r="BE131" s="17"/>
      <c r="BF131" s="17">
        <f t="shared" si="349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29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GX322"/>
  <sheetViews>
    <sheetView zoomScale="70" zoomScaleNormal="70" zoomScaleSheetLayoutView="75" workbookViewId="0">
      <pane xSplit="2" ySplit="8" topLeftCell="BD113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BJ118" sqref="BJ118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72" t="s">
        <v>158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</row>
    <row r="2" spans="1:206" ht="21.75" customHeight="1">
      <c r="A2" s="3"/>
      <c r="C2" s="278" t="s">
        <v>157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</row>
    <row r="3" spans="1:206" ht="15.75" customHeight="1">
      <c r="C3" s="278" t="s">
        <v>1</v>
      </c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8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61" t="s">
        <v>3</v>
      </c>
      <c r="B5" s="262"/>
      <c r="C5" s="100" t="s">
        <v>4</v>
      </c>
      <c r="D5" s="269" t="s">
        <v>5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 t="s">
        <v>6</v>
      </c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9"/>
    </row>
    <row r="6" spans="1:206" s="120" customFormat="1" ht="16.5" customHeight="1">
      <c r="A6" s="263"/>
      <c r="B6" s="264"/>
      <c r="C6" s="270" t="s">
        <v>149</v>
      </c>
      <c r="D6" s="271" t="s">
        <v>149</v>
      </c>
      <c r="E6" s="270" t="s">
        <v>8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 t="s">
        <v>150</v>
      </c>
      <c r="AB6" s="259" t="s">
        <v>96</v>
      </c>
      <c r="AC6" s="260" t="s">
        <v>10</v>
      </c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  <c r="BG6" s="260"/>
      <c r="BH6" s="260"/>
      <c r="BI6" s="260"/>
      <c r="BJ6" s="273" t="s">
        <v>125</v>
      </c>
      <c r="BK6" s="277" t="s">
        <v>126</v>
      </c>
      <c r="BL6" s="277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63"/>
      <c r="B7" s="264"/>
      <c r="C7" s="270"/>
      <c r="D7" s="271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70"/>
      <c r="AB7" s="259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75"/>
      <c r="BK7" s="277"/>
      <c r="BL7" s="277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65"/>
      <c r="B8" s="266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42" t="s">
        <v>29</v>
      </c>
      <c r="B9" s="342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57" t="s">
        <v>30</v>
      </c>
      <c r="B10" s="357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56" t="s">
        <v>31</v>
      </c>
      <c r="B11" s="356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56" t="s">
        <v>32</v>
      </c>
      <c r="B13" s="356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56" t="s">
        <v>80</v>
      </c>
      <c r="B14" s="356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56" t="s">
        <v>33</v>
      </c>
      <c r="B15" s="356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56" t="s">
        <v>35</v>
      </c>
      <c r="B16" s="356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56" t="s">
        <v>36</v>
      </c>
      <c r="B17" s="356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56" t="s">
        <v>37</v>
      </c>
      <c r="B18" s="356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56" t="s">
        <v>38</v>
      </c>
      <c r="B19" s="356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56" t="s">
        <v>39</v>
      </c>
      <c r="B20" s="356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56" t="s">
        <v>40</v>
      </c>
      <c r="B21" s="356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56" t="s">
        <v>41</v>
      </c>
      <c r="B22" s="356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56" t="s">
        <v>89</v>
      </c>
      <c r="B23" s="356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56" t="s">
        <v>90</v>
      </c>
      <c r="B24" s="356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56" t="s">
        <v>42</v>
      </c>
      <c r="B25" s="356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56" t="s">
        <v>43</v>
      </c>
      <c r="B26" s="356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57" t="s">
        <v>44</v>
      </c>
      <c r="B27" s="357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49" t="s">
        <v>94</v>
      </c>
      <c r="B28" s="349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49" t="s">
        <v>45</v>
      </c>
      <c r="B29" s="349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49" t="s">
        <v>91</v>
      </c>
      <c r="B30" s="349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49" t="s">
        <v>46</v>
      </c>
      <c r="B31" s="349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49" t="s">
        <v>92</v>
      </c>
      <c r="B32" s="349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49" t="s">
        <v>142</v>
      </c>
      <c r="B33" s="349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49" t="s">
        <v>118</v>
      </c>
      <c r="B34" s="349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49" t="s">
        <v>48</v>
      </c>
      <c r="B35" s="349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49" t="s">
        <v>93</v>
      </c>
      <c r="B36" s="349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42" t="s">
        <v>49</v>
      </c>
      <c r="B37" s="342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55" t="s">
        <v>100</v>
      </c>
      <c r="B38" s="355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46" t="s">
        <v>105</v>
      </c>
      <c r="B39" s="346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46" t="s">
        <v>99</v>
      </c>
      <c r="B40" s="346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46" t="s">
        <v>95</v>
      </c>
      <c r="B41" s="346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46" t="s">
        <v>98</v>
      </c>
      <c r="B42" s="346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54" t="s">
        <v>97</v>
      </c>
      <c r="B43" s="354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54" t="s">
        <v>101</v>
      </c>
      <c r="B44" s="354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54" t="s">
        <v>102</v>
      </c>
      <c r="B45" s="354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54" t="s">
        <v>103</v>
      </c>
      <c r="B46" s="354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54" t="s">
        <v>106</v>
      </c>
      <c r="B47" s="354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46" t="s">
        <v>132</v>
      </c>
      <c r="B48" s="346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46" t="s">
        <v>108</v>
      </c>
      <c r="B49" s="346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46" t="s">
        <v>110</v>
      </c>
      <c r="B50" s="346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46" t="s">
        <v>111</v>
      </c>
      <c r="B51" s="346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46" t="s">
        <v>112</v>
      </c>
      <c r="B52" s="346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46" t="s">
        <v>104</v>
      </c>
      <c r="B53" s="346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46" t="s">
        <v>107</v>
      </c>
      <c r="B54" s="346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46" t="s">
        <v>131</v>
      </c>
      <c r="B55" s="346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46" t="s">
        <v>109</v>
      </c>
      <c r="B56" s="346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46" t="s">
        <v>119</v>
      </c>
      <c r="B57" s="346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46" t="s">
        <v>120</v>
      </c>
      <c r="B58" s="346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46" t="s">
        <v>121</v>
      </c>
      <c r="B59" s="346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46" t="s">
        <v>122</v>
      </c>
      <c r="B60" s="346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46" t="s">
        <v>123</v>
      </c>
      <c r="B61" s="346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46" t="s">
        <v>124</v>
      </c>
      <c r="B62" s="346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46" t="s">
        <v>133</v>
      </c>
      <c r="B63" s="346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42" t="s">
        <v>50</v>
      </c>
      <c r="B74" s="342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45" t="s">
        <v>52</v>
      </c>
      <c r="B75" s="345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53" t="s">
        <v>127</v>
      </c>
      <c r="B76" s="353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42" t="s">
        <v>53</v>
      </c>
      <c r="B77" s="342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50" t="s">
        <v>54</v>
      </c>
      <c r="B78" s="350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49" t="s">
        <v>144</v>
      </c>
      <c r="B79" s="349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49" t="s">
        <v>145</v>
      </c>
      <c r="B80" s="349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50" t="s">
        <v>57</v>
      </c>
      <c r="B81" s="350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49" t="s">
        <v>144</v>
      </c>
      <c r="B82" s="349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49" t="s">
        <v>146</v>
      </c>
      <c r="B83" s="349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50" t="s">
        <v>58</v>
      </c>
      <c r="B84" s="350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49" t="s">
        <v>147</v>
      </c>
      <c r="B85" s="349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49" t="s">
        <v>148</v>
      </c>
      <c r="B86" s="349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50" t="s">
        <v>61</v>
      </c>
      <c r="B87" s="350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51" t="s">
        <v>167</v>
      </c>
      <c r="B88" s="351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52" t="s">
        <v>63</v>
      </c>
      <c r="B89" s="352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42" t="s">
        <v>136</v>
      </c>
      <c r="B90" s="342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48" t="s">
        <v>64</v>
      </c>
      <c r="B91" s="348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46" t="s">
        <v>38</v>
      </c>
      <c r="B92" s="346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49" t="s">
        <v>143</v>
      </c>
      <c r="B93" s="349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46" t="s">
        <v>65</v>
      </c>
      <c r="B94" s="346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47" t="s">
        <v>67</v>
      </c>
      <c r="B95" s="347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47" t="s">
        <v>34</v>
      </c>
      <c r="B96" s="347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47" t="s">
        <v>34</v>
      </c>
      <c r="B97" s="347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47" t="s">
        <v>34</v>
      </c>
      <c r="B98" s="347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47" t="s">
        <v>34</v>
      </c>
      <c r="B99" s="347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47" t="s">
        <v>34</v>
      </c>
      <c r="B100" s="347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48" t="s">
        <v>68</v>
      </c>
      <c r="B101" s="348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46">
        <v>243</v>
      </c>
      <c r="B102" s="346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46">
        <v>244</v>
      </c>
      <c r="B103" s="346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46">
        <v>414</v>
      </c>
      <c r="B104" s="346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46">
        <v>521</v>
      </c>
      <c r="B105" s="346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46">
        <v>831</v>
      </c>
      <c r="B106" s="346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46">
        <v>851</v>
      </c>
      <c r="B107" s="346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46">
        <v>853</v>
      </c>
      <c r="B108" s="346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46"/>
      <c r="B109" s="346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46"/>
      <c r="B110" s="346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46"/>
      <c r="B111" s="346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46"/>
      <c r="B112" s="346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8.25" customHeight="1">
      <c r="A113" s="226"/>
      <c r="B113" s="226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41" t="s">
        <v>72</v>
      </c>
      <c r="B114" s="341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150" customFormat="1" ht="15.75" customHeight="1">
      <c r="A115" s="221" t="s">
        <v>73</v>
      </c>
      <c r="B115" s="222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21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</row>
    <row r="116" spans="1:206" s="85" customFormat="1" ht="36.75" customHeight="1">
      <c r="A116" s="217" t="s">
        <v>74</v>
      </c>
      <c r="B116" s="218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68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</row>
    <row r="117" spans="1:206" s="66" customFormat="1" ht="16.5">
      <c r="A117" s="215" t="s">
        <v>75</v>
      </c>
      <c r="B117" s="216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1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</row>
    <row r="118" spans="1:206" s="75" customFormat="1" ht="18.75" customHeight="1">
      <c r="A118" s="359" t="s">
        <v>76</v>
      </c>
      <c r="B118" s="359"/>
      <c r="C118" s="180"/>
      <c r="D118" s="181">
        <f t="shared" ref="D118:D128" si="329">Z118</f>
        <v>0</v>
      </c>
      <c r="E118" s="182"/>
      <c r="F118" s="182"/>
      <c r="G118" s="182">
        <f t="shared" ref="G118:G128" si="330">F118-$C118</f>
        <v>0</v>
      </c>
      <c r="H118" s="182"/>
      <c r="I118" s="182">
        <f t="shared" ref="I118:I128" si="331">H118-$C118</f>
        <v>0</v>
      </c>
      <c r="J118" s="182"/>
      <c r="K118" s="182">
        <f t="shared" ref="K118:K128" si="332">J118-$C118</f>
        <v>0</v>
      </c>
      <c r="L118" s="182"/>
      <c r="M118" s="182">
        <f t="shared" ref="M118:M128" si="333">L118-$C118</f>
        <v>0</v>
      </c>
      <c r="N118" s="182"/>
      <c r="O118" s="182">
        <f t="shared" ref="O118:O128" si="334">N118-$C118</f>
        <v>0</v>
      </c>
      <c r="P118" s="182"/>
      <c r="Q118" s="182">
        <f t="shared" ref="Q118:Q128" si="335">P118-$C118</f>
        <v>0</v>
      </c>
      <c r="R118" s="182"/>
      <c r="S118" s="182">
        <f t="shared" ref="S118:S128" si="336">R118-$C118</f>
        <v>0</v>
      </c>
      <c r="T118" s="182"/>
      <c r="U118" s="182">
        <f t="shared" ref="U118:U128" si="337">T118-$C118</f>
        <v>0</v>
      </c>
      <c r="V118" s="182"/>
      <c r="W118" s="182">
        <f t="shared" ref="W118:W128" si="338">V118-$C118</f>
        <v>0</v>
      </c>
      <c r="X118" s="183"/>
      <c r="Y118" s="182">
        <f t="shared" ref="Y118:Y128" si="339">X118-$C118</f>
        <v>0</v>
      </c>
      <c r="Z118" s="183"/>
      <c r="AA118" s="180" t="s">
        <v>51</v>
      </c>
      <c r="AB118" s="144" t="s">
        <v>51</v>
      </c>
      <c r="AC118" s="184"/>
      <c r="AD118" s="184"/>
      <c r="AE118" s="184">
        <f t="shared" ref="AE118:AE128" si="340">AD118-$D118</f>
        <v>0</v>
      </c>
      <c r="AF118" s="144" t="s">
        <v>51</v>
      </c>
      <c r="AG118" s="182"/>
      <c r="AH118" s="184">
        <f t="shared" ref="AH118:AH128" si="341">AG118-$D118</f>
        <v>0</v>
      </c>
      <c r="AI118" s="144" t="s">
        <v>51</v>
      </c>
      <c r="AJ118" s="182"/>
      <c r="AK118" s="184">
        <f t="shared" ref="AK118:AK128" si="342">AJ118-$D118</f>
        <v>0</v>
      </c>
      <c r="AL118" s="144" t="s">
        <v>51</v>
      </c>
      <c r="AM118" s="182"/>
      <c r="AN118" s="184">
        <f t="shared" ref="AN118:AN128" si="343">AM118-$D118</f>
        <v>0</v>
      </c>
      <c r="AO118" s="144" t="s">
        <v>51</v>
      </c>
      <c r="AP118" s="182"/>
      <c r="AQ118" s="184">
        <f t="shared" ref="AQ118:AQ128" si="344">AP118-$D118</f>
        <v>0</v>
      </c>
      <c r="AR118" s="144" t="s">
        <v>51</v>
      </c>
      <c r="AS118" s="182"/>
      <c r="AT118" s="184">
        <f t="shared" ref="AT118:AT128" si="345">AS118-$D118</f>
        <v>0</v>
      </c>
      <c r="AU118" s="144" t="s">
        <v>51</v>
      </c>
      <c r="AV118" s="182"/>
      <c r="AW118" s="184">
        <f t="shared" ref="AW118:AW128" si="346">AV118-$D118</f>
        <v>0</v>
      </c>
      <c r="AX118" s="144" t="s">
        <v>51</v>
      </c>
      <c r="AY118" s="182"/>
      <c r="AZ118" s="184">
        <f t="shared" ref="AZ118:AZ128" si="347">AY118-$D118</f>
        <v>0</v>
      </c>
      <c r="BA118" s="144" t="s">
        <v>51</v>
      </c>
      <c r="BB118" s="182"/>
      <c r="BC118" s="184">
        <f t="shared" ref="BC118:BC128" si="348">BB118-$D118</f>
        <v>0</v>
      </c>
      <c r="BD118" s="144" t="s">
        <v>51</v>
      </c>
      <c r="BE118" s="182"/>
      <c r="BF118" s="184">
        <f t="shared" ref="BF118:BF128" si="349">BE118-$D118</f>
        <v>0</v>
      </c>
      <c r="BG118" s="144" t="s">
        <v>51</v>
      </c>
      <c r="BH118" s="182"/>
      <c r="BI118" s="182"/>
      <c r="BJ118" s="182"/>
      <c r="BK118" s="144" t="s">
        <v>51</v>
      </c>
      <c r="BL118" s="144">
        <f t="shared" ref="BL118:BL128" si="350">IF($D118=0,1,BJ118/$D118-1)</f>
        <v>1</v>
      </c>
      <c r="BM118" s="185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</row>
    <row r="119" spans="1:206" s="75" customFormat="1" ht="33.75" customHeight="1">
      <c r="A119" s="217" t="s">
        <v>165</v>
      </c>
      <c r="B119" s="218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85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</row>
    <row r="120" spans="1:206" s="66" customFormat="1" ht="18.75" customHeight="1">
      <c r="A120" s="345" t="s">
        <v>160</v>
      </c>
      <c r="B120" s="343"/>
      <c r="C120" s="42"/>
      <c r="D120" s="138">
        <f t="shared" si="329"/>
        <v>0</v>
      </c>
      <c r="E120" s="30"/>
      <c r="F120" s="30"/>
      <c r="G120" s="30">
        <f t="shared" si="330"/>
        <v>0</v>
      </c>
      <c r="H120" s="30"/>
      <c r="I120" s="30">
        <f t="shared" si="331"/>
        <v>0</v>
      </c>
      <c r="J120" s="30"/>
      <c r="K120" s="30">
        <f t="shared" si="332"/>
        <v>0</v>
      </c>
      <c r="L120" s="30"/>
      <c r="M120" s="30">
        <f t="shared" si="333"/>
        <v>0</v>
      </c>
      <c r="N120" s="30"/>
      <c r="O120" s="30">
        <f t="shared" si="334"/>
        <v>0</v>
      </c>
      <c r="P120" s="30"/>
      <c r="Q120" s="30">
        <f t="shared" si="335"/>
        <v>0</v>
      </c>
      <c r="R120" s="30"/>
      <c r="S120" s="30">
        <f t="shared" si="336"/>
        <v>0</v>
      </c>
      <c r="T120" s="30"/>
      <c r="U120" s="30">
        <f t="shared" si="337"/>
        <v>0</v>
      </c>
      <c r="V120" s="30"/>
      <c r="W120" s="30">
        <f t="shared" si="338"/>
        <v>0</v>
      </c>
      <c r="X120" s="40"/>
      <c r="Y120" s="30">
        <f t="shared" si="339"/>
        <v>0</v>
      </c>
      <c r="Z120" s="40"/>
      <c r="AA120" s="42" t="s">
        <v>51</v>
      </c>
      <c r="AB120" s="162" t="s">
        <v>51</v>
      </c>
      <c r="AC120" s="29"/>
      <c r="AD120" s="29"/>
      <c r="AE120" s="29">
        <f t="shared" si="340"/>
        <v>0</v>
      </c>
      <c r="AF120" s="162" t="s">
        <v>51</v>
      </c>
      <c r="AG120" s="29"/>
      <c r="AH120" s="29">
        <f t="shared" si="341"/>
        <v>0</v>
      </c>
      <c r="AI120" s="162" t="s">
        <v>51</v>
      </c>
      <c r="AJ120" s="29"/>
      <c r="AK120" s="29">
        <f t="shared" si="342"/>
        <v>0</v>
      </c>
      <c r="AL120" s="162" t="s">
        <v>51</v>
      </c>
      <c r="AM120" s="29"/>
      <c r="AN120" s="29">
        <f t="shared" si="343"/>
        <v>0</v>
      </c>
      <c r="AO120" s="162" t="s">
        <v>51</v>
      </c>
      <c r="AP120" s="29"/>
      <c r="AQ120" s="29">
        <f t="shared" si="344"/>
        <v>0</v>
      </c>
      <c r="AR120" s="162" t="s">
        <v>51</v>
      </c>
      <c r="AS120" s="29"/>
      <c r="AT120" s="29">
        <f t="shared" si="345"/>
        <v>0</v>
      </c>
      <c r="AU120" s="162" t="s">
        <v>51</v>
      </c>
      <c r="AV120" s="29"/>
      <c r="AW120" s="29">
        <f t="shared" si="346"/>
        <v>0</v>
      </c>
      <c r="AX120" s="162" t="s">
        <v>51</v>
      </c>
      <c r="AY120" s="29"/>
      <c r="AZ120" s="29">
        <f t="shared" si="347"/>
        <v>0</v>
      </c>
      <c r="BA120" s="162" t="s">
        <v>51</v>
      </c>
      <c r="BB120" s="29"/>
      <c r="BC120" s="29">
        <f t="shared" si="348"/>
        <v>0</v>
      </c>
      <c r="BD120" s="162" t="s">
        <v>51</v>
      </c>
      <c r="BE120" s="29"/>
      <c r="BF120" s="29">
        <f t="shared" si="349"/>
        <v>0</v>
      </c>
      <c r="BG120" s="162" t="s">
        <v>51</v>
      </c>
      <c r="BH120" s="29"/>
      <c r="BI120" s="29"/>
      <c r="BJ120" s="29"/>
      <c r="BK120" s="162" t="s">
        <v>51</v>
      </c>
      <c r="BL120" s="162">
        <f t="shared" si="350"/>
        <v>1</v>
      </c>
      <c r="BM120" s="171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</row>
    <row r="121" spans="1:206" s="87" customFormat="1" ht="35.25" customHeight="1">
      <c r="A121" s="342" t="s">
        <v>77</v>
      </c>
      <c r="B121" s="342"/>
      <c r="C121" s="17"/>
      <c r="D121" s="130">
        <f t="shared" si="329"/>
        <v>0</v>
      </c>
      <c r="E121" s="17"/>
      <c r="F121" s="17"/>
      <c r="G121" s="17">
        <f t="shared" si="330"/>
        <v>0</v>
      </c>
      <c r="H121" s="17"/>
      <c r="I121" s="17">
        <f t="shared" si="331"/>
        <v>0</v>
      </c>
      <c r="J121" s="17"/>
      <c r="K121" s="17">
        <f t="shared" si="332"/>
        <v>0</v>
      </c>
      <c r="L121" s="17"/>
      <c r="M121" s="17">
        <f t="shared" si="333"/>
        <v>0</v>
      </c>
      <c r="N121" s="17"/>
      <c r="O121" s="17">
        <f t="shared" si="334"/>
        <v>0</v>
      </c>
      <c r="P121" s="17"/>
      <c r="Q121" s="17">
        <f t="shared" si="335"/>
        <v>0</v>
      </c>
      <c r="R121" s="17"/>
      <c r="S121" s="17">
        <f t="shared" si="336"/>
        <v>0</v>
      </c>
      <c r="T121" s="17"/>
      <c r="U121" s="17">
        <f t="shared" si="337"/>
        <v>0</v>
      </c>
      <c r="V121" s="17"/>
      <c r="W121" s="17">
        <f t="shared" si="338"/>
        <v>0</v>
      </c>
      <c r="X121" s="17"/>
      <c r="Y121" s="17">
        <f t="shared" si="339"/>
        <v>0</v>
      </c>
      <c r="Z121" s="17"/>
      <c r="AA121" s="17" t="s">
        <v>51</v>
      </c>
      <c r="AB121" s="143" t="s">
        <v>51</v>
      </c>
      <c r="AC121" s="17"/>
      <c r="AD121" s="17"/>
      <c r="AE121" s="17">
        <f t="shared" si="340"/>
        <v>0</v>
      </c>
      <c r="AF121" s="143" t="s">
        <v>51</v>
      </c>
      <c r="AG121" s="17"/>
      <c r="AH121" s="17">
        <f t="shared" si="341"/>
        <v>0</v>
      </c>
      <c r="AI121" s="143" t="s">
        <v>51</v>
      </c>
      <c r="AJ121" s="17"/>
      <c r="AK121" s="17">
        <f t="shared" si="342"/>
        <v>0</v>
      </c>
      <c r="AL121" s="143" t="s">
        <v>51</v>
      </c>
      <c r="AM121" s="17"/>
      <c r="AN121" s="17">
        <f t="shared" si="343"/>
        <v>0</v>
      </c>
      <c r="AO121" s="143" t="s">
        <v>51</v>
      </c>
      <c r="AP121" s="17"/>
      <c r="AQ121" s="17">
        <f t="shared" si="344"/>
        <v>0</v>
      </c>
      <c r="AR121" s="143" t="s">
        <v>51</v>
      </c>
      <c r="AS121" s="17"/>
      <c r="AT121" s="17">
        <f t="shared" si="345"/>
        <v>0</v>
      </c>
      <c r="AU121" s="143" t="s">
        <v>51</v>
      </c>
      <c r="AV121" s="17"/>
      <c r="AW121" s="17">
        <f t="shared" si="346"/>
        <v>0</v>
      </c>
      <c r="AX121" s="143" t="s">
        <v>51</v>
      </c>
      <c r="AY121" s="17"/>
      <c r="AZ121" s="17">
        <f t="shared" si="347"/>
        <v>0</v>
      </c>
      <c r="BA121" s="143" t="s">
        <v>51</v>
      </c>
      <c r="BB121" s="17"/>
      <c r="BC121" s="17">
        <f t="shared" si="348"/>
        <v>0</v>
      </c>
      <c r="BD121" s="143" t="s">
        <v>51</v>
      </c>
      <c r="BE121" s="17"/>
      <c r="BF121" s="17">
        <f t="shared" si="349"/>
        <v>0</v>
      </c>
      <c r="BG121" s="143" t="s">
        <v>51</v>
      </c>
      <c r="BH121" s="17"/>
      <c r="BI121" s="17"/>
      <c r="BJ121" s="17"/>
      <c r="BK121" s="143" t="s">
        <v>51</v>
      </c>
      <c r="BL121" s="143">
        <f t="shared" si="350"/>
        <v>1</v>
      </c>
      <c r="BM121" s="172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  <c r="EM121" s="88"/>
      <c r="EN121" s="88"/>
      <c r="EO121" s="88"/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88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</row>
    <row r="122" spans="1:206" s="66" customFormat="1" ht="16.5">
      <c r="A122" s="343" t="s">
        <v>75</v>
      </c>
      <c r="B122" s="343"/>
      <c r="C122" s="42"/>
      <c r="D122" s="161">
        <f t="shared" si="329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0"/>
      <c r="AD122" s="40"/>
      <c r="AE122" s="40">
        <f t="shared" si="340"/>
        <v>0</v>
      </c>
      <c r="AF122" s="162" t="s">
        <v>51</v>
      </c>
      <c r="AG122" s="40"/>
      <c r="AH122" s="40">
        <f t="shared" si="341"/>
        <v>0</v>
      </c>
      <c r="AI122" s="162" t="s">
        <v>51</v>
      </c>
      <c r="AJ122" s="40"/>
      <c r="AK122" s="40">
        <f t="shared" si="342"/>
        <v>0</v>
      </c>
      <c r="AL122" s="162" t="s">
        <v>51</v>
      </c>
      <c r="AM122" s="40"/>
      <c r="AN122" s="40">
        <f t="shared" si="343"/>
        <v>0</v>
      </c>
      <c r="AO122" s="162" t="s">
        <v>51</v>
      </c>
      <c r="AP122" s="40"/>
      <c r="AQ122" s="40">
        <f t="shared" si="344"/>
        <v>0</v>
      </c>
      <c r="AR122" s="162" t="s">
        <v>51</v>
      </c>
      <c r="AS122" s="40"/>
      <c r="AT122" s="40">
        <f t="shared" si="345"/>
        <v>0</v>
      </c>
      <c r="AU122" s="162" t="s">
        <v>51</v>
      </c>
      <c r="AV122" s="40"/>
      <c r="AW122" s="40">
        <f t="shared" si="346"/>
        <v>0</v>
      </c>
      <c r="AX122" s="162" t="s">
        <v>51</v>
      </c>
      <c r="AY122" s="40"/>
      <c r="AZ122" s="40">
        <f t="shared" si="347"/>
        <v>0</v>
      </c>
      <c r="BA122" s="162" t="s">
        <v>51</v>
      </c>
      <c r="BB122" s="40"/>
      <c r="BC122" s="40">
        <f t="shared" si="348"/>
        <v>0</v>
      </c>
      <c r="BD122" s="162" t="s">
        <v>51</v>
      </c>
      <c r="BE122" s="40"/>
      <c r="BF122" s="40">
        <f t="shared" si="349"/>
        <v>0</v>
      </c>
      <c r="BG122" s="162" t="s">
        <v>51</v>
      </c>
      <c r="BH122" s="40"/>
      <c r="BI122" s="40"/>
      <c r="BJ122" s="40"/>
      <c r="BK122" s="162" t="s">
        <v>51</v>
      </c>
      <c r="BL122" s="162">
        <f t="shared" si="350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43" t="s">
        <v>76</v>
      </c>
      <c r="B123" s="343"/>
      <c r="C123" s="42"/>
      <c r="D123" s="161">
        <f t="shared" si="329"/>
        <v>0</v>
      </c>
      <c r="E123" s="40"/>
      <c r="F123" s="40"/>
      <c r="G123" s="40">
        <f t="shared" si="330"/>
        <v>0</v>
      </c>
      <c r="H123" s="40"/>
      <c r="I123" s="40">
        <f t="shared" si="331"/>
        <v>0</v>
      </c>
      <c r="J123" s="40"/>
      <c r="K123" s="40">
        <f t="shared" si="332"/>
        <v>0</v>
      </c>
      <c r="L123" s="40"/>
      <c r="M123" s="40">
        <f t="shared" si="333"/>
        <v>0</v>
      </c>
      <c r="N123" s="40"/>
      <c r="O123" s="40">
        <f t="shared" si="334"/>
        <v>0</v>
      </c>
      <c r="P123" s="40"/>
      <c r="Q123" s="40">
        <f t="shared" si="335"/>
        <v>0</v>
      </c>
      <c r="R123" s="40"/>
      <c r="S123" s="40">
        <f t="shared" si="336"/>
        <v>0</v>
      </c>
      <c r="T123" s="40"/>
      <c r="U123" s="40">
        <f t="shared" si="337"/>
        <v>0</v>
      </c>
      <c r="V123" s="40"/>
      <c r="W123" s="40">
        <f t="shared" si="338"/>
        <v>0</v>
      </c>
      <c r="X123" s="40"/>
      <c r="Y123" s="40">
        <f t="shared" si="339"/>
        <v>0</v>
      </c>
      <c r="Z123" s="40"/>
      <c r="AA123" s="42" t="s">
        <v>51</v>
      </c>
      <c r="AB123" s="162" t="s">
        <v>51</v>
      </c>
      <c r="AC123" s="40"/>
      <c r="AD123" s="40"/>
      <c r="AE123" s="40">
        <f t="shared" si="340"/>
        <v>0</v>
      </c>
      <c r="AF123" s="162" t="s">
        <v>51</v>
      </c>
      <c r="AG123" s="40"/>
      <c r="AH123" s="40">
        <f t="shared" si="341"/>
        <v>0</v>
      </c>
      <c r="AI123" s="162" t="s">
        <v>51</v>
      </c>
      <c r="AJ123" s="40"/>
      <c r="AK123" s="40">
        <f t="shared" si="342"/>
        <v>0</v>
      </c>
      <c r="AL123" s="162" t="s">
        <v>51</v>
      </c>
      <c r="AM123" s="40"/>
      <c r="AN123" s="40">
        <f t="shared" si="343"/>
        <v>0</v>
      </c>
      <c r="AO123" s="162" t="s">
        <v>51</v>
      </c>
      <c r="AP123" s="40"/>
      <c r="AQ123" s="40">
        <f t="shared" si="344"/>
        <v>0</v>
      </c>
      <c r="AR123" s="162" t="s">
        <v>51</v>
      </c>
      <c r="AS123" s="40"/>
      <c r="AT123" s="40">
        <f t="shared" si="345"/>
        <v>0</v>
      </c>
      <c r="AU123" s="162" t="s">
        <v>51</v>
      </c>
      <c r="AV123" s="40"/>
      <c r="AW123" s="40">
        <f t="shared" si="346"/>
        <v>0</v>
      </c>
      <c r="AX123" s="162" t="s">
        <v>51</v>
      </c>
      <c r="AY123" s="40"/>
      <c r="AZ123" s="40">
        <f t="shared" si="347"/>
        <v>0</v>
      </c>
      <c r="BA123" s="162" t="s">
        <v>51</v>
      </c>
      <c r="BB123" s="40"/>
      <c r="BC123" s="40">
        <f t="shared" si="348"/>
        <v>0</v>
      </c>
      <c r="BD123" s="162" t="s">
        <v>51</v>
      </c>
      <c r="BE123" s="40"/>
      <c r="BF123" s="40">
        <f t="shared" si="349"/>
        <v>0</v>
      </c>
      <c r="BG123" s="162" t="s">
        <v>51</v>
      </c>
      <c r="BH123" s="40"/>
      <c r="BI123" s="40"/>
      <c r="BJ123" s="40"/>
      <c r="BK123" s="162" t="s">
        <v>51</v>
      </c>
      <c r="BL123" s="162">
        <f t="shared" si="350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66" customFormat="1" ht="21.75" customHeight="1">
      <c r="A124" s="345" t="s">
        <v>161</v>
      </c>
      <c r="B124" s="343"/>
      <c r="C124" s="42"/>
      <c r="D124" s="138">
        <f t="shared" si="329"/>
        <v>0</v>
      </c>
      <c r="E124" s="30"/>
      <c r="F124" s="30"/>
      <c r="G124" s="30">
        <f t="shared" si="330"/>
        <v>0</v>
      </c>
      <c r="H124" s="30"/>
      <c r="I124" s="30">
        <f t="shared" si="331"/>
        <v>0</v>
      </c>
      <c r="J124" s="30"/>
      <c r="K124" s="30">
        <f t="shared" si="332"/>
        <v>0</v>
      </c>
      <c r="L124" s="30"/>
      <c r="M124" s="30">
        <f t="shared" si="333"/>
        <v>0</v>
      </c>
      <c r="N124" s="30"/>
      <c r="O124" s="30">
        <f t="shared" si="334"/>
        <v>0</v>
      </c>
      <c r="P124" s="30"/>
      <c r="Q124" s="30">
        <f t="shared" si="335"/>
        <v>0</v>
      </c>
      <c r="R124" s="30"/>
      <c r="S124" s="30">
        <f t="shared" si="336"/>
        <v>0</v>
      </c>
      <c r="T124" s="30"/>
      <c r="U124" s="30">
        <f t="shared" si="337"/>
        <v>0</v>
      </c>
      <c r="V124" s="30"/>
      <c r="W124" s="30">
        <f t="shared" si="338"/>
        <v>0</v>
      </c>
      <c r="X124" s="30"/>
      <c r="Y124" s="30">
        <f t="shared" si="339"/>
        <v>0</v>
      </c>
      <c r="Z124" s="40"/>
      <c r="AA124" s="42" t="s">
        <v>51</v>
      </c>
      <c r="AB124" s="162" t="s">
        <v>51</v>
      </c>
      <c r="AC124" s="30"/>
      <c r="AD124" s="30"/>
      <c r="AE124" s="30">
        <f t="shared" si="340"/>
        <v>0</v>
      </c>
      <c r="AF124" s="162" t="s">
        <v>51</v>
      </c>
      <c r="AG124" s="30"/>
      <c r="AH124" s="30">
        <f t="shared" si="341"/>
        <v>0</v>
      </c>
      <c r="AI124" s="162" t="s">
        <v>51</v>
      </c>
      <c r="AJ124" s="30"/>
      <c r="AK124" s="30">
        <f t="shared" si="342"/>
        <v>0</v>
      </c>
      <c r="AL124" s="162" t="s">
        <v>51</v>
      </c>
      <c r="AM124" s="30"/>
      <c r="AN124" s="30">
        <f t="shared" si="343"/>
        <v>0</v>
      </c>
      <c r="AO124" s="162" t="s">
        <v>51</v>
      </c>
      <c r="AP124" s="30"/>
      <c r="AQ124" s="30">
        <f t="shared" si="344"/>
        <v>0</v>
      </c>
      <c r="AR124" s="162" t="s">
        <v>51</v>
      </c>
      <c r="AS124" s="30"/>
      <c r="AT124" s="30">
        <f t="shared" si="345"/>
        <v>0</v>
      </c>
      <c r="AU124" s="162" t="s">
        <v>51</v>
      </c>
      <c r="AV124" s="30"/>
      <c r="AW124" s="30">
        <f t="shared" si="346"/>
        <v>0</v>
      </c>
      <c r="AX124" s="162" t="s">
        <v>51</v>
      </c>
      <c r="AY124" s="30"/>
      <c r="AZ124" s="30">
        <f t="shared" si="347"/>
        <v>0</v>
      </c>
      <c r="BA124" s="162" t="s">
        <v>51</v>
      </c>
      <c r="BB124" s="30"/>
      <c r="BC124" s="30">
        <f t="shared" si="348"/>
        <v>0</v>
      </c>
      <c r="BD124" s="162" t="s">
        <v>51</v>
      </c>
      <c r="BE124" s="30"/>
      <c r="BF124" s="30">
        <f t="shared" si="349"/>
        <v>0</v>
      </c>
      <c r="BG124" s="162" t="s">
        <v>51</v>
      </c>
      <c r="BH124" s="30"/>
      <c r="BI124" s="30"/>
      <c r="BJ124" s="30"/>
      <c r="BK124" s="162" t="s">
        <v>51</v>
      </c>
      <c r="BL124" s="162">
        <f t="shared" si="350"/>
        <v>1</v>
      </c>
      <c r="BM124" s="171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</row>
    <row r="125" spans="1:206" s="87" customFormat="1" ht="35.25" customHeight="1">
      <c r="A125" s="342" t="s">
        <v>135</v>
      </c>
      <c r="B125" s="342"/>
      <c r="C125" s="17"/>
      <c r="D125" s="130">
        <f t="shared" si="329"/>
        <v>0</v>
      </c>
      <c r="E125" s="17"/>
      <c r="F125" s="17"/>
      <c r="G125" s="17">
        <f t="shared" si="330"/>
        <v>0</v>
      </c>
      <c r="H125" s="17"/>
      <c r="I125" s="17">
        <f t="shared" si="331"/>
        <v>0</v>
      </c>
      <c r="J125" s="17"/>
      <c r="K125" s="17">
        <f t="shared" si="332"/>
        <v>0</v>
      </c>
      <c r="L125" s="17"/>
      <c r="M125" s="17">
        <f t="shared" si="333"/>
        <v>0</v>
      </c>
      <c r="N125" s="17"/>
      <c r="O125" s="17">
        <f t="shared" si="334"/>
        <v>0</v>
      </c>
      <c r="P125" s="17"/>
      <c r="Q125" s="17">
        <f t="shared" si="335"/>
        <v>0</v>
      </c>
      <c r="R125" s="17"/>
      <c r="S125" s="17">
        <f t="shared" si="336"/>
        <v>0</v>
      </c>
      <c r="T125" s="17"/>
      <c r="U125" s="17">
        <f t="shared" si="337"/>
        <v>0</v>
      </c>
      <c r="V125" s="17"/>
      <c r="W125" s="17">
        <f t="shared" si="338"/>
        <v>0</v>
      </c>
      <c r="X125" s="17"/>
      <c r="Y125" s="17">
        <f t="shared" si="339"/>
        <v>0</v>
      </c>
      <c r="Z125" s="17"/>
      <c r="AA125" s="17" t="s">
        <v>51</v>
      </c>
      <c r="AB125" s="143" t="s">
        <v>51</v>
      </c>
      <c r="AC125" s="17"/>
      <c r="AD125" s="17"/>
      <c r="AE125" s="17">
        <f t="shared" si="340"/>
        <v>0</v>
      </c>
      <c r="AF125" s="143" t="s">
        <v>51</v>
      </c>
      <c r="AG125" s="17"/>
      <c r="AH125" s="17">
        <f t="shared" si="341"/>
        <v>0</v>
      </c>
      <c r="AI125" s="143" t="s">
        <v>51</v>
      </c>
      <c r="AJ125" s="17"/>
      <c r="AK125" s="17">
        <f t="shared" si="342"/>
        <v>0</v>
      </c>
      <c r="AL125" s="143" t="s">
        <v>51</v>
      </c>
      <c r="AM125" s="17"/>
      <c r="AN125" s="17">
        <f t="shared" si="343"/>
        <v>0</v>
      </c>
      <c r="AO125" s="143" t="s">
        <v>51</v>
      </c>
      <c r="AP125" s="17"/>
      <c r="AQ125" s="17">
        <f t="shared" si="344"/>
        <v>0</v>
      </c>
      <c r="AR125" s="143" t="s">
        <v>51</v>
      </c>
      <c r="AS125" s="17"/>
      <c r="AT125" s="17">
        <f t="shared" si="345"/>
        <v>0</v>
      </c>
      <c r="AU125" s="143" t="s">
        <v>51</v>
      </c>
      <c r="AV125" s="17"/>
      <c r="AW125" s="17">
        <f t="shared" si="346"/>
        <v>0</v>
      </c>
      <c r="AX125" s="143" t="s">
        <v>51</v>
      </c>
      <c r="AY125" s="17"/>
      <c r="AZ125" s="17">
        <f t="shared" si="347"/>
        <v>0</v>
      </c>
      <c r="BA125" s="143" t="s">
        <v>51</v>
      </c>
      <c r="BB125" s="17"/>
      <c r="BC125" s="17">
        <f t="shared" si="348"/>
        <v>0</v>
      </c>
      <c r="BD125" s="143" t="s">
        <v>51</v>
      </c>
      <c r="BE125" s="17"/>
      <c r="BF125" s="17">
        <f t="shared" si="349"/>
        <v>0</v>
      </c>
      <c r="BG125" s="143" t="s">
        <v>51</v>
      </c>
      <c r="BH125" s="17"/>
      <c r="BI125" s="17"/>
      <c r="BJ125" s="17"/>
      <c r="BK125" s="143" t="s">
        <v>51</v>
      </c>
      <c r="BL125" s="143">
        <f t="shared" si="350"/>
        <v>1</v>
      </c>
      <c r="BM125" s="172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</row>
    <row r="126" spans="1:206" s="66" customFormat="1" ht="16.5">
      <c r="A126" s="344" t="s">
        <v>78</v>
      </c>
      <c r="B126" s="344"/>
      <c r="C126" s="30"/>
      <c r="D126" s="137">
        <f t="shared" si="329"/>
        <v>0</v>
      </c>
      <c r="E126" s="29"/>
      <c r="F126" s="29"/>
      <c r="G126" s="29">
        <f t="shared" si="330"/>
        <v>0</v>
      </c>
      <c r="H126" s="29"/>
      <c r="I126" s="29">
        <f t="shared" si="331"/>
        <v>0</v>
      </c>
      <c r="J126" s="29"/>
      <c r="K126" s="29">
        <f t="shared" si="332"/>
        <v>0</v>
      </c>
      <c r="L126" s="29"/>
      <c r="M126" s="29">
        <f t="shared" si="333"/>
        <v>0</v>
      </c>
      <c r="N126" s="29"/>
      <c r="O126" s="29">
        <f t="shared" si="334"/>
        <v>0</v>
      </c>
      <c r="P126" s="29"/>
      <c r="Q126" s="29">
        <f t="shared" si="335"/>
        <v>0</v>
      </c>
      <c r="R126" s="29"/>
      <c r="S126" s="29">
        <f t="shared" si="336"/>
        <v>0</v>
      </c>
      <c r="T126" s="29"/>
      <c r="U126" s="29">
        <f t="shared" si="337"/>
        <v>0</v>
      </c>
      <c r="V126" s="29"/>
      <c r="W126" s="29">
        <f t="shared" si="338"/>
        <v>0</v>
      </c>
      <c r="X126" s="29"/>
      <c r="Y126" s="29">
        <f t="shared" si="339"/>
        <v>0</v>
      </c>
      <c r="Z126" s="30"/>
      <c r="AA126" s="42" t="s">
        <v>51</v>
      </c>
      <c r="AB126" s="162" t="s">
        <v>51</v>
      </c>
      <c r="AC126" s="30"/>
      <c r="AD126" s="29"/>
      <c r="AE126" s="29">
        <f t="shared" si="340"/>
        <v>0</v>
      </c>
      <c r="AF126" s="162" t="s">
        <v>51</v>
      </c>
      <c r="AG126" s="29"/>
      <c r="AH126" s="29">
        <f t="shared" si="341"/>
        <v>0</v>
      </c>
      <c r="AI126" s="162" t="s">
        <v>51</v>
      </c>
      <c r="AJ126" s="29"/>
      <c r="AK126" s="29">
        <f t="shared" si="342"/>
        <v>0</v>
      </c>
      <c r="AL126" s="162" t="s">
        <v>51</v>
      </c>
      <c r="AM126" s="29"/>
      <c r="AN126" s="29">
        <f t="shared" si="343"/>
        <v>0</v>
      </c>
      <c r="AO126" s="162" t="s">
        <v>51</v>
      </c>
      <c r="AP126" s="29"/>
      <c r="AQ126" s="29">
        <f t="shared" si="344"/>
        <v>0</v>
      </c>
      <c r="AR126" s="162" t="s">
        <v>51</v>
      </c>
      <c r="AS126" s="29"/>
      <c r="AT126" s="29">
        <f t="shared" si="345"/>
        <v>0</v>
      </c>
      <c r="AU126" s="162" t="s">
        <v>51</v>
      </c>
      <c r="AV126" s="29"/>
      <c r="AW126" s="29">
        <f t="shared" si="346"/>
        <v>0</v>
      </c>
      <c r="AX126" s="162" t="s">
        <v>51</v>
      </c>
      <c r="AY126" s="29"/>
      <c r="AZ126" s="29">
        <f t="shared" si="347"/>
        <v>0</v>
      </c>
      <c r="BA126" s="162" t="s">
        <v>51</v>
      </c>
      <c r="BB126" s="29"/>
      <c r="BC126" s="29">
        <f t="shared" si="348"/>
        <v>0</v>
      </c>
      <c r="BD126" s="162" t="s">
        <v>51</v>
      </c>
      <c r="BE126" s="29"/>
      <c r="BF126" s="29">
        <f t="shared" si="349"/>
        <v>0</v>
      </c>
      <c r="BG126" s="162" t="s">
        <v>51</v>
      </c>
      <c r="BH126" s="29"/>
      <c r="BI126" s="29"/>
      <c r="BJ126" s="29"/>
      <c r="BK126" s="162" t="s">
        <v>51</v>
      </c>
      <c r="BL126" s="162">
        <f t="shared" si="350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87" customFormat="1" ht="15.75" customHeight="1">
      <c r="A127" s="358" t="s">
        <v>79</v>
      </c>
      <c r="B127" s="358"/>
      <c r="C127" s="17"/>
      <c r="D127" s="130">
        <f t="shared" si="329"/>
        <v>0</v>
      </c>
      <c r="E127" s="17"/>
      <c r="F127" s="17"/>
      <c r="G127" s="17">
        <f t="shared" si="330"/>
        <v>0</v>
      </c>
      <c r="H127" s="17"/>
      <c r="I127" s="17">
        <f t="shared" si="331"/>
        <v>0</v>
      </c>
      <c r="J127" s="17"/>
      <c r="K127" s="17">
        <f t="shared" si="332"/>
        <v>0</v>
      </c>
      <c r="L127" s="17"/>
      <c r="M127" s="17">
        <f t="shared" si="333"/>
        <v>0</v>
      </c>
      <c r="N127" s="17"/>
      <c r="O127" s="17">
        <f t="shared" si="334"/>
        <v>0</v>
      </c>
      <c r="P127" s="17"/>
      <c r="Q127" s="17">
        <f t="shared" si="335"/>
        <v>0</v>
      </c>
      <c r="R127" s="17"/>
      <c r="S127" s="17">
        <f t="shared" si="336"/>
        <v>0</v>
      </c>
      <c r="T127" s="17"/>
      <c r="U127" s="17">
        <f t="shared" si="337"/>
        <v>0</v>
      </c>
      <c r="V127" s="17"/>
      <c r="W127" s="17">
        <f t="shared" si="338"/>
        <v>0</v>
      </c>
      <c r="X127" s="17"/>
      <c r="Y127" s="17">
        <f t="shared" si="339"/>
        <v>0</v>
      </c>
      <c r="Z127" s="17"/>
      <c r="AA127" s="17" t="s">
        <v>51</v>
      </c>
      <c r="AB127" s="143" t="s">
        <v>51</v>
      </c>
      <c r="AC127" s="17"/>
      <c r="AD127" s="17"/>
      <c r="AE127" s="17">
        <f t="shared" si="340"/>
        <v>0</v>
      </c>
      <c r="AF127" s="143" t="s">
        <v>51</v>
      </c>
      <c r="AG127" s="17"/>
      <c r="AH127" s="17">
        <f t="shared" si="341"/>
        <v>0</v>
      </c>
      <c r="AI127" s="143" t="s">
        <v>51</v>
      </c>
      <c r="AJ127" s="17"/>
      <c r="AK127" s="17">
        <f t="shared" si="342"/>
        <v>0</v>
      </c>
      <c r="AL127" s="143" t="s">
        <v>51</v>
      </c>
      <c r="AM127" s="17"/>
      <c r="AN127" s="17">
        <f t="shared" si="343"/>
        <v>0</v>
      </c>
      <c r="AO127" s="143" t="s">
        <v>51</v>
      </c>
      <c r="AP127" s="17"/>
      <c r="AQ127" s="17">
        <f t="shared" si="344"/>
        <v>0</v>
      </c>
      <c r="AR127" s="143" t="s">
        <v>51</v>
      </c>
      <c r="AS127" s="17"/>
      <c r="AT127" s="17">
        <f t="shared" si="345"/>
        <v>0</v>
      </c>
      <c r="AU127" s="143" t="s">
        <v>51</v>
      </c>
      <c r="AV127" s="17"/>
      <c r="AW127" s="17">
        <f t="shared" si="346"/>
        <v>0</v>
      </c>
      <c r="AX127" s="143" t="s">
        <v>51</v>
      </c>
      <c r="AY127" s="17"/>
      <c r="AZ127" s="17">
        <f t="shared" si="347"/>
        <v>0</v>
      </c>
      <c r="BA127" s="143" t="s">
        <v>51</v>
      </c>
      <c r="BB127" s="17"/>
      <c r="BC127" s="17">
        <f t="shared" si="348"/>
        <v>0</v>
      </c>
      <c r="BD127" s="143" t="s">
        <v>51</v>
      </c>
      <c r="BE127" s="17"/>
      <c r="BF127" s="17">
        <f t="shared" si="349"/>
        <v>0</v>
      </c>
      <c r="BG127" s="143" t="s">
        <v>51</v>
      </c>
      <c r="BH127" s="17"/>
      <c r="BI127" s="17"/>
      <c r="BJ127" s="17"/>
      <c r="BK127" s="143" t="s">
        <v>51</v>
      </c>
      <c r="BL127" s="143">
        <f t="shared" si="350"/>
        <v>1</v>
      </c>
      <c r="BM127" s="172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</row>
    <row r="128" spans="1:206" s="82" customFormat="1" ht="16.5">
      <c r="A128" s="342" t="s">
        <v>162</v>
      </c>
      <c r="B128" s="342"/>
      <c r="C128" s="17"/>
      <c r="D128" s="130">
        <f t="shared" si="329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>
        <f>IF(G128=0,1,AE128/G128-1)</f>
        <v>1</v>
      </c>
      <c r="AG128" s="17"/>
      <c r="AH128" s="17">
        <f t="shared" si="341"/>
        <v>0</v>
      </c>
      <c r="AI128" s="143">
        <f>IF(I128=0,1,AH128/I128-1)</f>
        <v>1</v>
      </c>
      <c r="AJ128" s="17"/>
      <c r="AK128" s="17">
        <f t="shared" si="342"/>
        <v>0</v>
      </c>
      <c r="AL128" s="143">
        <f>IF(K128=0,1,AK128/K128-1)</f>
        <v>1</v>
      </c>
      <c r="AM128" s="17"/>
      <c r="AN128" s="17">
        <f t="shared" si="343"/>
        <v>0</v>
      </c>
      <c r="AO128" s="143">
        <f>IF(M128=0,1,AN128/M128-1)</f>
        <v>1</v>
      </c>
      <c r="AP128" s="17"/>
      <c r="AQ128" s="17">
        <f t="shared" si="344"/>
        <v>0</v>
      </c>
      <c r="AR128" s="143">
        <f>IF(O128=0,1,AQ128/O128-1)</f>
        <v>1</v>
      </c>
      <c r="AS128" s="17"/>
      <c r="AT128" s="17">
        <f t="shared" si="345"/>
        <v>0</v>
      </c>
      <c r="AU128" s="143">
        <f>IF(Q128=0,1,AT128/Q128-1)</f>
        <v>1</v>
      </c>
      <c r="AV128" s="17"/>
      <c r="AW128" s="17">
        <f t="shared" si="346"/>
        <v>0</v>
      </c>
      <c r="AX128" s="143">
        <f>IF(S128=0,1,AW128/S128-1)</f>
        <v>1</v>
      </c>
      <c r="AY128" s="17"/>
      <c r="AZ128" s="17">
        <f t="shared" si="347"/>
        <v>0</v>
      </c>
      <c r="BA128" s="143">
        <f>IF(U128=0,1,AZ128/U128-1)</f>
        <v>1</v>
      </c>
      <c r="BB128" s="17"/>
      <c r="BC128" s="17">
        <f t="shared" si="348"/>
        <v>0</v>
      </c>
      <c r="BD128" s="143">
        <f>IF(W128=0,1,BC128/W128-1)</f>
        <v>1</v>
      </c>
      <c r="BE128" s="17"/>
      <c r="BF128" s="17">
        <f t="shared" si="349"/>
        <v>0</v>
      </c>
      <c r="BG128" s="143">
        <f>IF(Y128=0,1,BF128/Y128-1)</f>
        <v>1</v>
      </c>
      <c r="BH128" s="17"/>
      <c r="BI128" s="17"/>
      <c r="BJ128" s="17"/>
      <c r="BK128" s="143">
        <f>IF($AA$24=0,1,BJ128/$AA$24-1)</f>
        <v>1</v>
      </c>
      <c r="BL128" s="143">
        <f t="shared" si="350"/>
        <v>1</v>
      </c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</row>
    <row r="129" spans="1:206" s="66" customFormat="1">
      <c r="A129" s="89"/>
      <c r="B129" s="89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91"/>
      <c r="BN129" s="91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66" customFormat="1" ht="33">
      <c r="A130" s="191" t="s">
        <v>163</v>
      </c>
      <c r="B130" s="192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91"/>
      <c r="BN130" s="91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</row>
    <row r="131" spans="1:206" s="66" customFormat="1" ht="16.5">
      <c r="A131" s="191" t="s">
        <v>164</v>
      </c>
      <c r="B131" s="192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91"/>
      <c r="BN131" s="91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34" customFormat="1">
      <c r="A173" s="45"/>
      <c r="B173" s="45"/>
      <c r="C173" s="45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47"/>
      <c r="BN173" s="47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s="34" customFormat="1">
      <c r="A174" s="45"/>
      <c r="B174" s="45"/>
      <c r="C174" s="45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47"/>
      <c r="BN174" s="47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s="34" customFormat="1">
      <c r="A175" s="45"/>
      <c r="B175" s="45"/>
      <c r="C175" s="45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47"/>
      <c r="BN175" s="47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2" customFormat="1">
      <c r="A282" s="48"/>
      <c r="B282" s="48"/>
      <c r="C282" s="48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BM282" s="1"/>
      <c r="BN282" s="1"/>
    </row>
    <row r="283" spans="1:206" s="2" customFormat="1">
      <c r="A283" s="48"/>
      <c r="B283" s="48"/>
      <c r="C283" s="48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BM283" s="1"/>
      <c r="BN283" s="1"/>
    </row>
    <row r="284" spans="1:206" s="2" customFormat="1">
      <c r="A284" s="48"/>
      <c r="B284" s="48"/>
      <c r="C284" s="48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BM284" s="1"/>
      <c r="BN284" s="1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</sheetData>
  <sheetProtection password="CF36" sheet="1" objects="1" scenarios="1" formatColumns="0" formatRows="0"/>
  <mergeCells count="124">
    <mergeCell ref="A5:B8"/>
    <mergeCell ref="D5:Z5"/>
    <mergeCell ref="AA5:BL5"/>
    <mergeCell ref="C6:C7"/>
    <mergeCell ref="D6:D7"/>
    <mergeCell ref="E6:Z6"/>
    <mergeCell ref="AA6:AA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28:B128"/>
    <mergeCell ref="A122:B122"/>
    <mergeCell ref="A123:B123"/>
    <mergeCell ref="A124:B124"/>
    <mergeCell ref="A125:B125"/>
    <mergeCell ref="A126:B126"/>
    <mergeCell ref="A127:B127"/>
    <mergeCell ref="A115:B115"/>
    <mergeCell ref="A116:B116"/>
    <mergeCell ref="A117:B117"/>
    <mergeCell ref="A118:B118"/>
    <mergeCell ref="A120:B120"/>
    <mergeCell ref="A121:B121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12</vt:i4>
      </vt:variant>
    </vt:vector>
  </HeadingPairs>
  <TitlesOfParts>
    <vt:vector size="19" baseType="lpstr">
      <vt:lpstr>консолидированный (короткая)</vt:lpstr>
      <vt:lpstr>пудожский район</vt:lpstr>
      <vt:lpstr>сортавала</vt:lpstr>
      <vt:lpstr>бюджет округа (района)</vt:lpstr>
      <vt:lpstr>бюджеты поселений</vt:lpstr>
      <vt:lpstr>КРЕДИТ ДЛЯ ПОСЕЛЕНИЯ</vt:lpstr>
      <vt:lpstr>Лист1</vt:lpstr>
      <vt:lpstr>'бюджет округа (района)'!Заголовки_для_печати</vt:lpstr>
      <vt:lpstr>'бюджеты поселений'!Заголовки_для_печати</vt:lpstr>
      <vt:lpstr>'консолидированный (короткая)'!Заголовки_для_печати</vt:lpstr>
      <vt:lpstr>'КРЕДИТ ДЛЯ ПОСЕЛЕНИЯ'!Заголовки_для_печати</vt:lpstr>
      <vt:lpstr>'пудожский район'!Заголовки_для_печати</vt:lpstr>
      <vt:lpstr>сортавала!Заголовки_для_печати</vt:lpstr>
      <vt:lpstr>'бюджет округа (района)'!Область_печати</vt:lpstr>
      <vt:lpstr>'бюджеты поселений'!Область_печати</vt:lpstr>
      <vt:lpstr>'консолидированный (короткая)'!Область_печати</vt:lpstr>
      <vt:lpstr>'КРЕДИТ ДЛЯ ПОСЕЛЕНИЯ'!Область_печати</vt:lpstr>
      <vt:lpstr>'пудожский район'!Область_печати</vt:lpstr>
      <vt:lpstr>сортавала!Область_печати</vt:lpstr>
    </vt:vector>
  </TitlesOfParts>
  <Company>minfin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putilina</dc:creator>
  <cp:lastModifiedBy>Пользователь</cp:lastModifiedBy>
  <cp:lastPrinted>2022-04-13T08:09:36Z</cp:lastPrinted>
  <dcterms:created xsi:type="dcterms:W3CDTF">2016-04-18T07:00:51Z</dcterms:created>
  <dcterms:modified xsi:type="dcterms:W3CDTF">2025-10-14T11:48:15Z</dcterms:modified>
</cp:coreProperties>
</file>